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dorozhnyab\Desktop\Для рассылки\25.12\"/>
    </mc:Choice>
  </mc:AlternateContent>
  <workbookProtection workbookAlgorithmName="SHA-512" workbookHashValue="VQ9OEFsV8BHcK/YQ3dYmeNj6HvOA9/wqQge178l2qoVPfF2ZZ4Y/yC+1jCwi4QeDhLCl0zmAm6i0wZRNwjtLiQ==" workbookSaltValue="oZduHH3qgCmCJOC2UYLlzA==" workbookSpinCount="100000" lockStructure="1"/>
  <bookViews>
    <workbookView xWindow="0" yWindow="0" windowWidth="28800" windowHeight="12300"/>
  </bookViews>
  <sheets>
    <sheet name="Сверхлимит" sheetId="1" r:id="rId1"/>
    <sheet name="Сверхлимит с рассрочкой" sheetId="3" r:id="rId2"/>
    <sheet name="Скидка на период отсрочки" sheetId="6" state="hidden" r:id="rId3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3" l="1"/>
  <c r="B49" i="3"/>
  <c r="B48" i="3"/>
  <c r="B47" i="3"/>
  <c r="B32" i="3"/>
  <c r="B31" i="3"/>
  <c r="B30" i="3"/>
  <c r="B29" i="3"/>
  <c r="C31" i="3" l="1"/>
  <c r="D39" i="6" l="1"/>
  <c r="D40" i="6" s="1"/>
  <c r="D41" i="6" s="1"/>
  <c r="D42" i="6" s="1"/>
  <c r="D43" i="6" s="1"/>
  <c r="D44" i="6" s="1"/>
  <c r="D45" i="6" s="1"/>
  <c r="D46" i="6" s="1"/>
  <c r="D47" i="6" s="1"/>
  <c r="D48" i="6" s="1"/>
  <c r="D49" i="6" s="1"/>
  <c r="D50" i="6" s="1"/>
  <c r="D51" i="6" s="1"/>
  <c r="D52" i="6" s="1"/>
  <c r="D53" i="6" s="1"/>
  <c r="D54" i="6" s="1"/>
  <c r="D55" i="6" s="1"/>
  <c r="D56" i="6" s="1"/>
  <c r="D57" i="6" s="1"/>
  <c r="D58" i="6" s="1"/>
  <c r="D59" i="6" s="1"/>
  <c r="D60" i="6" s="1"/>
  <c r="D61" i="6" s="1"/>
  <c r="D62" i="6" s="1"/>
  <c r="D63" i="6" s="1"/>
  <c r="D64" i="6" s="1"/>
  <c r="D65" i="6" s="1"/>
  <c r="D66" i="6" s="1"/>
  <c r="D67" i="6" s="1"/>
  <c r="D68" i="6" s="1"/>
  <c r="D69" i="6" s="1"/>
  <c r="D70" i="6" s="1"/>
  <c r="D71" i="6" s="1"/>
  <c r="D72" i="6" s="1"/>
  <c r="D73" i="6" s="1"/>
  <c r="D74" i="6" s="1"/>
  <c r="A39" i="6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C49" i="3" l="1"/>
  <c r="H71" i="3" l="1"/>
  <c r="H70" i="3"/>
  <c r="H72" i="3" s="1"/>
  <c r="C25" i="3"/>
  <c r="I21" i="3"/>
  <c r="I20" i="3"/>
  <c r="I19" i="3"/>
  <c r="I18" i="3"/>
  <c r="D18" i="3"/>
  <c r="I16" i="3"/>
  <c r="I15" i="3"/>
  <c r="C15" i="3"/>
  <c r="C20" i="3" s="1"/>
  <c r="B55" i="3" l="1"/>
  <c r="C24" i="3"/>
  <c r="C32" i="3"/>
  <c r="C28" i="3"/>
  <c r="B28" i="3"/>
  <c r="B54" i="3"/>
  <c r="B46" i="3"/>
  <c r="B56" i="3"/>
  <c r="B18" i="3"/>
  <c r="D15" i="3"/>
  <c r="B44" i="3"/>
  <c r="B52" i="3"/>
  <c r="C12" i="3"/>
  <c r="D13" i="3" s="1"/>
  <c r="C23" i="3"/>
  <c r="B35" i="3"/>
  <c r="B43" i="3"/>
  <c r="B51" i="3"/>
  <c r="B36" i="3"/>
  <c r="B33" i="3"/>
  <c r="B37" i="3"/>
  <c r="B38" i="3"/>
  <c r="B45" i="3"/>
  <c r="B53" i="3"/>
  <c r="B57" i="3"/>
  <c r="B17" i="3"/>
  <c r="B21" i="3"/>
  <c r="B34" i="3"/>
  <c r="B41" i="3"/>
  <c r="C45" i="3"/>
  <c r="B12" i="3"/>
  <c r="B22" i="3"/>
  <c r="B42" i="3"/>
  <c r="H58" i="1"/>
  <c r="H57" i="1"/>
  <c r="C29" i="3" l="1"/>
  <c r="C36" i="3"/>
  <c r="B38" i="6"/>
  <c r="C34" i="3"/>
  <c r="C43" i="3"/>
  <c r="C33" i="3"/>
  <c r="C35" i="3"/>
  <c r="H59" i="1"/>
  <c r="D17" i="1"/>
  <c r="B39" i="6" l="1"/>
  <c r="C52" i="3"/>
  <c r="C38" i="6"/>
  <c r="C54" i="3"/>
  <c r="C53" i="3"/>
  <c r="C51" i="3"/>
  <c r="D43" i="3"/>
  <c r="C44" i="3"/>
  <c r="C25" i="1"/>
  <c r="B40" i="6" l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C50" i="3"/>
  <c r="C47" i="3" s="1"/>
  <c r="C55" i="3" s="1"/>
  <c r="C46" i="3"/>
  <c r="I20" i="1"/>
  <c r="I19" i="1"/>
  <c r="I18" i="1"/>
  <c r="I17" i="1"/>
  <c r="I16" i="1"/>
  <c r="I15" i="1"/>
  <c r="C15" i="1"/>
  <c r="B18" i="1" s="1"/>
  <c r="C30" i="3" l="1"/>
  <c r="C39" i="6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C61" i="6" s="1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C73" i="6" s="1"/>
  <c r="C74" i="6" s="1"/>
  <c r="C20" i="1"/>
  <c r="C12" i="1" s="1"/>
  <c r="C48" i="3" l="1"/>
  <c r="C56" i="3" s="1"/>
  <c r="B33" i="1"/>
  <c r="B32" i="1"/>
  <c r="C24" i="1"/>
  <c r="B34" i="1"/>
  <c r="B17" i="1"/>
  <c r="B12" i="1"/>
  <c r="D15" i="1"/>
  <c r="D13" i="1"/>
  <c r="B43" i="1"/>
  <c r="B44" i="1"/>
  <c r="C37" i="1"/>
  <c r="B35" i="1"/>
  <c r="B42" i="1"/>
  <c r="B30" i="1"/>
  <c r="B41" i="1"/>
  <c r="B29" i="1"/>
  <c r="B28" i="1"/>
  <c r="B40" i="1"/>
  <c r="B45" i="1"/>
  <c r="B27" i="1"/>
  <c r="B38" i="1"/>
  <c r="B39" i="1"/>
  <c r="B21" i="1"/>
  <c r="B31" i="1"/>
  <c r="C23" i="1"/>
  <c r="C30" i="1" s="1"/>
  <c r="B36" i="1"/>
  <c r="B37" i="1"/>
  <c r="B22" i="1"/>
  <c r="C28" i="1" l="1"/>
  <c r="C29" i="1"/>
  <c r="C35" i="1"/>
  <c r="C27" i="1"/>
  <c r="C26" i="1"/>
  <c r="C36" i="1" l="1"/>
  <c r="C38" i="1" s="1"/>
  <c r="C44" i="1" s="1"/>
  <c r="D35" i="1"/>
  <c r="C42" i="1"/>
  <c r="C41" i="1"/>
  <c r="C40" i="1"/>
  <c r="C39" i="1"/>
  <c r="C43" i="1" l="1"/>
</calcChain>
</file>

<file path=xl/sharedStrings.xml><?xml version="1.0" encoding="utf-8"?>
<sst xmlns="http://schemas.openxmlformats.org/spreadsheetml/2006/main" count="199" uniqueCount="71">
  <si>
    <t>Программа кредитования</t>
  </si>
  <si>
    <t>Регион недвижимости</t>
  </si>
  <si>
    <t>Срок кредита, мес</t>
  </si>
  <si>
    <t>Регионы</t>
  </si>
  <si>
    <t>Москва, Санкт-Петербург, МО, ЛО</t>
  </si>
  <si>
    <t>Прочие регионы</t>
  </si>
  <si>
    <t>Программа</t>
  </si>
  <si>
    <t>Ипотека с господдержкой</t>
  </si>
  <si>
    <t>Ипотека для семей с детьми</t>
  </si>
  <si>
    <t>Ставка (без превышения)</t>
  </si>
  <si>
    <t>Ставка (с превышением)</t>
  </si>
  <si>
    <t>Макс чек по комбо (гос)</t>
  </si>
  <si>
    <t>Макс чек по комбо (сем)</t>
  </si>
  <si>
    <t>Стандартный чек (гос)</t>
  </si>
  <si>
    <t>Стандартный чек (сем)</t>
  </si>
  <si>
    <t>Стоимость недвижимости, руб</t>
  </si>
  <si>
    <t>Размер ПВ, руб</t>
  </si>
  <si>
    <t>Сумма кредита, руб</t>
  </si>
  <si>
    <t>Да</t>
  </si>
  <si>
    <t>Нет</t>
  </si>
  <si>
    <t xml:space="preserve">Подходящий вариант заявки </t>
  </si>
  <si>
    <t>Ипотека с господдержкой (обычная)</t>
  </si>
  <si>
    <t>Ипотека для семей с детьми (обычная)</t>
  </si>
  <si>
    <t>Ипотека с господдержкой (комбо)</t>
  </si>
  <si>
    <t>Ипотека для семей с детьми (комбо)</t>
  </si>
  <si>
    <t>Ипотека с господдержкой (субсидирование застройщиком)</t>
  </si>
  <si>
    <t>Ипотека для семей с детьми (субсидирование застройщиком)</t>
  </si>
  <si>
    <t>Варианты</t>
  </si>
  <si>
    <t>Акция</t>
  </si>
  <si>
    <t>Ставка</t>
  </si>
  <si>
    <t>До 6 млн</t>
  </si>
  <si>
    <t>От 6 млн</t>
  </si>
  <si>
    <t>Процентная ставка, %</t>
  </si>
  <si>
    <t>Ежемесячный платёж, руб</t>
  </si>
  <si>
    <t>Ручное заполнение</t>
  </si>
  <si>
    <t>Автоматическое заполнение</t>
  </si>
  <si>
    <t>Акция «Максимальный лимит по госпрограмме»</t>
  </si>
  <si>
    <t>Надбавка</t>
  </si>
  <si>
    <t>Отсутствие страхования</t>
  </si>
  <si>
    <t>По двум документам</t>
  </si>
  <si>
    <t>ПВ меньше 20%</t>
  </si>
  <si>
    <t>Субсидирование застройщиком</t>
  </si>
  <si>
    <t>Макс сумма кредита</t>
  </si>
  <si>
    <t>Включая размер материнского капитала (если применимо), руб</t>
  </si>
  <si>
    <t>Стандартный</t>
  </si>
  <si>
    <t>Партнёрский+</t>
  </si>
  <si>
    <t>Приоритет (ТОП застройщики)</t>
  </si>
  <si>
    <t>Доверительный (зарплатники)</t>
  </si>
  <si>
    <t>Сверхлимит (два кредита)</t>
  </si>
  <si>
    <t>Сверхлимит (акция «Последипотека»)</t>
  </si>
  <si>
    <t>Наёмный работник</t>
  </si>
  <si>
    <t>ИП/Собственник бизнеса</t>
  </si>
  <si>
    <t>Самозанятый</t>
  </si>
  <si>
    <t>Обычная</t>
  </si>
  <si>
    <t>2 документа</t>
  </si>
  <si>
    <t>Стройка</t>
  </si>
  <si>
    <t>Самозанятые не кредитуются по двум документам</t>
  </si>
  <si>
    <t>Вид занятости</t>
  </si>
  <si>
    <t>Кредитование по двум документам</t>
  </si>
  <si>
    <t>Индивидуальная ставка</t>
  </si>
  <si>
    <t>Первичное жилье</t>
  </si>
  <si>
    <t>Ипотека на коммерческую недвижимость</t>
  </si>
  <si>
    <t>Скидка к ставке</t>
  </si>
  <si>
    <t>Вторичное жилье</t>
  </si>
  <si>
    <t>Рефинансирование</t>
  </si>
  <si>
    <t>Кредит под залог недвижимости</t>
  </si>
  <si>
    <t>Остаток долга</t>
  </si>
  <si>
    <t>да</t>
  </si>
  <si>
    <t>нет</t>
  </si>
  <si>
    <t>Рассрочка</t>
  </si>
  <si>
    <t>Рассрочка, мес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</si>
</sst>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₽&quot;;[Red]\-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ahoma"/>
      <family val="2"/>
      <charset val="204"/>
    </font>
    <font>
      <b/>
      <sz val="11"/>
      <color rgb="FFC0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7" tint="-0.249977111117893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  <charset val="204"/>
    </font>
    <font>
      <b/>
      <sz val="11"/>
      <color theme="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4DFE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theme="7" tint="-0.249977111117893"/>
      </left>
      <right style="medium">
        <color theme="7" tint="-0.249977111117893"/>
      </right>
      <top style="medium">
        <color theme="7" tint="-0.249977111117893"/>
      </top>
      <bottom/>
      <diagonal/>
    </border>
    <border>
      <left style="medium">
        <color theme="7" tint="-0.249977111117893"/>
      </left>
      <right style="medium">
        <color theme="7" tint="-0.249977111117893"/>
      </right>
      <top style="hair">
        <color theme="7" tint="-0.249977111117893"/>
      </top>
      <bottom style="hair">
        <color theme="7" tint="-0.249977111117893"/>
      </bottom>
      <diagonal/>
    </border>
    <border>
      <left style="medium">
        <color theme="7" tint="-0.249977111117893"/>
      </left>
      <right style="medium">
        <color theme="7" tint="-0.249977111117893"/>
      </right>
      <top style="hair">
        <color theme="7" tint="-0.249977111117893"/>
      </top>
      <bottom style="medium">
        <color theme="7" tint="-0.249977111117893"/>
      </bottom>
      <diagonal/>
    </border>
    <border>
      <left style="medium">
        <color theme="7" tint="-0.249977111117893"/>
      </left>
      <right/>
      <top style="medium">
        <color theme="7" tint="-0.249977111117893"/>
      </top>
      <bottom style="medium">
        <color theme="7" tint="-0.249977111117893"/>
      </bottom>
      <diagonal/>
    </border>
    <border>
      <left style="medium">
        <color theme="7" tint="-0.249977111117893"/>
      </left>
      <right style="medium">
        <color theme="7" tint="-0.249977111117893"/>
      </right>
      <top style="medium">
        <color theme="7" tint="-0.249977111117893"/>
      </top>
      <bottom style="medium">
        <color theme="7" tint="-0.249977111117893"/>
      </bottom>
      <diagonal/>
    </border>
    <border>
      <left/>
      <right style="medium">
        <color theme="7" tint="-0.249977111117893"/>
      </right>
      <top style="medium">
        <color theme="7" tint="-0.249977111117893"/>
      </top>
      <bottom style="medium">
        <color theme="7" tint="-0.249977111117893"/>
      </bottom>
      <diagonal/>
    </border>
    <border>
      <left style="medium">
        <color theme="7" tint="-0.249977111117893"/>
      </left>
      <right style="medium">
        <color theme="7" tint="-0.249977111117893"/>
      </right>
      <top/>
      <bottom style="medium">
        <color theme="7" tint="-0.249977111117893"/>
      </bottom>
      <diagonal/>
    </border>
    <border>
      <left style="medium">
        <color theme="7" tint="-0.249977111117893"/>
      </left>
      <right style="medium">
        <color theme="7" tint="-0.249977111117893"/>
      </right>
      <top style="hair">
        <color theme="7" tint="-0.249977111117893"/>
      </top>
      <bottom/>
      <diagonal/>
    </border>
    <border>
      <left style="medium">
        <color theme="7" tint="-0.249977111117893"/>
      </left>
      <right style="medium">
        <color theme="7" tint="-0.249977111117893"/>
      </right>
      <top style="medium">
        <color theme="7" tint="-0.249977111117893"/>
      </top>
      <bottom style="hair">
        <color theme="7" tint="-0.249977111117893"/>
      </bottom>
      <diagonal/>
    </border>
    <border>
      <left style="medium">
        <color theme="7" tint="-0.249977111117893"/>
      </left>
      <right style="medium">
        <color theme="7" tint="-0.249977111117893"/>
      </right>
      <top/>
      <bottom/>
      <diagonal/>
    </border>
    <border>
      <left style="medium">
        <color theme="7" tint="-0.249977111117893"/>
      </left>
      <right style="medium">
        <color theme="7" tint="-0.249977111117893"/>
      </right>
      <top/>
      <bottom style="hair">
        <color theme="7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</cellStyleXfs>
  <cellXfs count="67">
    <xf numFmtId="0" fontId="0" fillId="0" borderId="0" xfId="0"/>
    <xf numFmtId="10" fontId="0" fillId="0" borderId="0" xfId="0" applyNumberFormat="1"/>
    <xf numFmtId="9" fontId="0" fillId="0" borderId="0" xfId="0" applyNumberFormat="1"/>
    <xf numFmtId="3" fontId="0" fillId="0" borderId="0" xfId="0" applyNumberFormat="1"/>
    <xf numFmtId="0" fontId="0" fillId="2" borderId="0" xfId="0" applyFill="1"/>
    <xf numFmtId="0" fontId="1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3" borderId="2" xfId="0" applyFont="1" applyFill="1" applyBorder="1" applyAlignment="1">
      <alignment horizontal="left" vertical="center" indent="1"/>
    </xf>
    <xf numFmtId="0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indent="1"/>
    </xf>
    <xf numFmtId="0" fontId="0" fillId="0" borderId="5" xfId="0" applyBorder="1"/>
    <xf numFmtId="0" fontId="1" fillId="0" borderId="0" xfId="0" applyFont="1"/>
    <xf numFmtId="0" fontId="1" fillId="4" borderId="7" xfId="0" applyFont="1" applyFill="1" applyBorder="1" applyAlignment="1">
      <alignment horizontal="left" vertical="center" indent="2"/>
    </xf>
    <xf numFmtId="0" fontId="1" fillId="0" borderId="1" xfId="0" applyFont="1" applyBorder="1" applyAlignment="1" applyProtection="1">
      <alignment horizontal="left" vertical="center" indent="1"/>
      <protection hidden="1"/>
    </xf>
    <xf numFmtId="3" fontId="3" fillId="4" borderId="2" xfId="1" applyNumberFormat="1" applyFont="1" applyFill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left" vertical="center" indent="1"/>
      <protection hidden="1"/>
    </xf>
    <xf numFmtId="10" fontId="3" fillId="4" borderId="2" xfId="1" applyNumberFormat="1" applyFont="1" applyFill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left" vertical="center" indent="1"/>
      <protection hidden="1"/>
    </xf>
    <xf numFmtId="0" fontId="0" fillId="0" borderId="0" xfId="0" applyProtection="1">
      <protection hidden="1"/>
    </xf>
    <xf numFmtId="3" fontId="3" fillId="4" borderId="3" xfId="0" applyNumberFormat="1" applyFont="1" applyFill="1" applyBorder="1" applyAlignment="1" applyProtection="1">
      <alignment horizontal="center" vertical="center"/>
      <protection hidden="1"/>
    </xf>
    <xf numFmtId="0" fontId="3" fillId="0" borderId="8" xfId="1" applyNumberFormat="1" applyFont="1" applyBorder="1" applyAlignment="1">
      <alignment horizontal="center" vertical="center"/>
    </xf>
    <xf numFmtId="0" fontId="5" fillId="0" borderId="0" xfId="0" applyFont="1" applyProtection="1">
      <protection hidden="1"/>
    </xf>
    <xf numFmtId="0" fontId="1" fillId="0" borderId="8" xfId="0" applyFont="1" applyBorder="1" applyAlignment="1" applyProtection="1">
      <alignment horizontal="left" vertical="center" indent="1"/>
      <protection hidden="1"/>
    </xf>
    <xf numFmtId="0" fontId="6" fillId="0" borderId="0" xfId="0" applyFont="1" applyProtection="1">
      <protection hidden="1"/>
    </xf>
    <xf numFmtId="0" fontId="1" fillId="3" borderId="2" xfId="0" applyFont="1" applyFill="1" applyBorder="1" applyAlignment="1" applyProtection="1">
      <alignment horizontal="left" vertical="center" indent="2"/>
      <protection hidden="1"/>
    </xf>
    <xf numFmtId="0" fontId="1" fillId="0" borderId="2" xfId="0" applyFont="1" applyBorder="1" applyAlignment="1">
      <alignment horizontal="left" vertical="center" indent="2"/>
    </xf>
    <xf numFmtId="0" fontId="1" fillId="3" borderId="8" xfId="0" applyFont="1" applyFill="1" applyBorder="1" applyAlignment="1" applyProtection="1">
      <alignment horizontal="left" vertical="center" indent="2"/>
      <protection hidden="1"/>
    </xf>
    <xf numFmtId="3" fontId="3" fillId="0" borderId="2" xfId="1" applyNumberFormat="1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left" vertical="center" indent="1"/>
      <protection hidden="1"/>
    </xf>
    <xf numFmtId="0" fontId="1" fillId="0" borderId="9" xfId="0" applyFont="1" applyBorder="1" applyAlignment="1" applyProtection="1">
      <alignment horizontal="left" vertical="center" indent="1"/>
      <protection hidden="1"/>
    </xf>
    <xf numFmtId="0" fontId="3" fillId="6" borderId="7" xfId="0" applyFont="1" applyFill="1" applyBorder="1" applyAlignment="1" applyProtection="1">
      <alignment horizontal="left" vertical="center" indent="1"/>
      <protection hidden="1"/>
    </xf>
    <xf numFmtId="0" fontId="3" fillId="6" borderId="2" xfId="0" applyFont="1" applyFill="1" applyBorder="1" applyAlignment="1" applyProtection="1">
      <alignment horizontal="left" vertical="center" indent="1"/>
      <protection hidden="1"/>
    </xf>
    <xf numFmtId="10" fontId="3" fillId="6" borderId="2" xfId="1" applyNumberFormat="1" applyFont="1" applyFill="1" applyBorder="1" applyAlignment="1" applyProtection="1">
      <alignment horizontal="center" vertical="center"/>
      <protection hidden="1"/>
    </xf>
    <xf numFmtId="9" fontId="0" fillId="0" borderId="0" xfId="1" applyFont="1"/>
    <xf numFmtId="0" fontId="1" fillId="0" borderId="11" xfId="0" applyFont="1" applyBorder="1" applyAlignment="1" applyProtection="1">
      <alignment horizontal="left" vertical="center" indent="1"/>
      <protection hidden="1"/>
    </xf>
    <xf numFmtId="10" fontId="3" fillId="0" borderId="2" xfId="1" applyNumberFormat="1" applyFont="1" applyFill="1" applyBorder="1" applyAlignment="1" applyProtection="1">
      <alignment horizontal="center" vertical="center"/>
      <protection hidden="1"/>
    </xf>
    <xf numFmtId="4" fontId="3" fillId="0" borderId="2" xfId="0" applyNumberFormat="1" applyFont="1" applyBorder="1" applyAlignment="1">
      <alignment horizontal="center" vertical="center"/>
    </xf>
    <xf numFmtId="4" fontId="3" fillId="4" borderId="2" xfId="0" applyNumberFormat="1" applyFont="1" applyFill="1" applyBorder="1" applyAlignment="1" applyProtection="1">
      <alignment horizontal="center" vertical="center"/>
      <protection hidden="1"/>
    </xf>
    <xf numFmtId="4" fontId="3" fillId="0" borderId="2" xfId="1" applyNumberFormat="1" applyFont="1" applyBorder="1" applyAlignment="1">
      <alignment horizontal="center" vertical="center"/>
    </xf>
    <xf numFmtId="4" fontId="3" fillId="4" borderId="2" xfId="1" applyNumberFormat="1" applyFont="1" applyFill="1" applyBorder="1" applyAlignment="1" applyProtection="1">
      <alignment horizontal="center" vertical="center"/>
      <protection hidden="1"/>
    </xf>
    <xf numFmtId="4" fontId="1" fillId="4" borderId="2" xfId="1" applyNumberFormat="1" applyFont="1" applyFill="1" applyBorder="1" applyAlignment="1" applyProtection="1">
      <alignment horizontal="center" vertical="center"/>
      <protection hidden="1"/>
    </xf>
    <xf numFmtId="4" fontId="1" fillId="4" borderId="8" xfId="1" applyNumberFormat="1" applyFont="1" applyFill="1" applyBorder="1" applyAlignment="1" applyProtection="1">
      <alignment horizontal="center" vertical="center"/>
      <protection hidden="1"/>
    </xf>
    <xf numFmtId="4" fontId="3" fillId="6" borderId="7" xfId="1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0" fontId="7" fillId="0" borderId="0" xfId="2"/>
    <xf numFmtId="0" fontId="8" fillId="0" borderId="12" xfId="2" applyFont="1" applyBorder="1"/>
    <xf numFmtId="3" fontId="3" fillId="0" borderId="2" xfId="2" applyNumberFormat="1" applyFont="1" applyBorder="1" applyAlignment="1">
      <alignment horizontal="center" vertical="center"/>
    </xf>
    <xf numFmtId="10" fontId="3" fillId="4" borderId="2" xfId="3" applyNumberFormat="1" applyFont="1" applyFill="1" applyBorder="1" applyAlignment="1" applyProtection="1">
      <alignment horizontal="center" vertical="center"/>
      <protection hidden="1"/>
    </xf>
    <xf numFmtId="0" fontId="9" fillId="4" borderId="12" xfId="2" applyFont="1" applyFill="1" applyBorder="1" applyAlignment="1">
      <alignment horizontal="center" vertical="center"/>
    </xf>
    <xf numFmtId="10" fontId="8" fillId="0" borderId="12" xfId="2" applyNumberFormat="1" applyFont="1" applyBorder="1"/>
    <xf numFmtId="9" fontId="8" fillId="0" borderId="12" xfId="2" applyNumberFormat="1" applyFont="1" applyBorder="1"/>
    <xf numFmtId="0" fontId="8" fillId="0" borderId="13" xfId="2" applyFont="1" applyFill="1" applyBorder="1"/>
    <xf numFmtId="4" fontId="7" fillId="0" borderId="0" xfId="2" applyNumberFormat="1"/>
    <xf numFmtId="8" fontId="7" fillId="0" borderId="0" xfId="2" applyNumberFormat="1"/>
    <xf numFmtId="0" fontId="1" fillId="0" borderId="11" xfId="0" applyFont="1" applyFill="1" applyBorder="1" applyAlignment="1" applyProtection="1">
      <alignment horizontal="left" vertical="center" indent="1"/>
      <protection hidden="1"/>
    </xf>
    <xf numFmtId="0" fontId="1" fillId="0" borderId="2" xfId="2" applyFont="1" applyFill="1" applyBorder="1" applyAlignment="1">
      <alignment horizontal="left" vertical="center" indent="1"/>
    </xf>
    <xf numFmtId="0" fontId="1" fillId="0" borderId="2" xfId="0" applyFont="1" applyFill="1" applyBorder="1" applyAlignment="1" applyProtection="1">
      <alignment horizontal="left" vertical="center" indent="1"/>
      <protection hidden="1"/>
    </xf>
    <xf numFmtId="0" fontId="1" fillId="0" borderId="10" xfId="0" applyFont="1" applyFill="1" applyBorder="1" applyAlignment="1" applyProtection="1">
      <alignment horizontal="left" vertical="center" indent="1"/>
      <protection hidden="1"/>
    </xf>
    <xf numFmtId="0" fontId="3" fillId="7" borderId="2" xfId="0" applyFont="1" applyFill="1" applyBorder="1" applyAlignment="1" applyProtection="1">
      <alignment horizontal="left" vertical="center" indent="1"/>
      <protection hidden="1"/>
    </xf>
    <xf numFmtId="0" fontId="3" fillId="7" borderId="7" xfId="0" applyFont="1" applyFill="1" applyBorder="1" applyAlignment="1" applyProtection="1">
      <alignment horizontal="left" vertical="center" indent="1"/>
      <protection hidden="1"/>
    </xf>
    <xf numFmtId="4" fontId="3" fillId="7" borderId="10" xfId="1" applyNumberFormat="1" applyFont="1" applyFill="1" applyBorder="1" applyAlignment="1" applyProtection="1">
      <alignment horizontal="center" vertical="center"/>
      <protection hidden="1"/>
    </xf>
    <xf numFmtId="4" fontId="3" fillId="7" borderId="7" xfId="1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 vertical="center"/>
      <protection hidden="1"/>
    </xf>
    <xf numFmtId="0" fontId="3" fillId="5" borderId="6" xfId="0" applyFont="1" applyFill="1" applyBorder="1" applyAlignment="1" applyProtection="1">
      <alignment horizontal="center" vertical="center"/>
      <protection hidden="1"/>
    </xf>
  </cellXfs>
  <cellStyles count="4">
    <cellStyle name="Обычный" xfId="0" builtinId="0"/>
    <cellStyle name="Обычный 2" xfId="2"/>
    <cellStyle name="Процентный" xfId="1" builtinId="5"/>
    <cellStyle name="Процентный 2" xfId="3"/>
  </cellStyles>
  <dxfs count="28"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numFmt numFmtId="164" formatCode=";;;"/>
    </dxf>
    <dxf>
      <numFmt numFmtId="164" formatCode=";;;"/>
    </dxf>
    <dxf>
      <fill>
        <patternFill>
          <bgColor rgb="FFFF9999"/>
        </patternFill>
      </fill>
    </dxf>
    <dxf>
      <numFmt numFmtId="164" formatCode=";;;"/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numFmt numFmtId="164" formatCode=";;;"/>
    </dxf>
    <dxf>
      <fill>
        <patternFill patternType="none">
          <bgColor auto="1"/>
        </patternFill>
      </fill>
      <border>
        <left/>
        <right/>
        <top style="thin">
          <color theme="7" tint="-0.24994659260841701"/>
        </top>
        <bottom/>
        <vertical/>
        <horizontal/>
      </border>
    </dxf>
    <dxf>
      <numFmt numFmtId="164" formatCode=";;;"/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</dxf>
    <dxf>
      <numFmt numFmtId="164" formatCode=";;;"/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numFmt numFmtId="164" formatCode=";;;"/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numFmt numFmtId="164" formatCode=";;;"/>
    </dxf>
    <dxf>
      <fill>
        <patternFill patternType="none">
          <bgColor auto="1"/>
        </patternFill>
      </fill>
      <border>
        <left/>
        <right/>
        <top style="thin">
          <color theme="7" tint="-0.24994659260841701"/>
        </top>
        <bottom/>
        <vertical/>
        <horizontal/>
      </border>
    </dxf>
    <dxf>
      <numFmt numFmtId="164" formatCode=";;;"/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FF9999"/>
      <color rgb="FFE4DFE2"/>
      <color rgb="FFE4DFEC"/>
      <color rgb="FFBEB2D2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1504950</xdr:colOff>
      <xdr:row>1</xdr:row>
      <xdr:rowOff>47625</xdr:rowOff>
    </xdr:from>
    <xdr:to>
      <xdr:col>2</xdr:col>
      <xdr:colOff>764244</xdr:colOff>
      <xdr:row>5</xdr:row>
      <xdr:rowOff>123825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0" y="238125"/>
          <a:ext cx="3697944" cy="838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1504950</xdr:colOff>
      <xdr:row>1</xdr:row>
      <xdr:rowOff>47625</xdr:rowOff>
    </xdr:from>
    <xdr:to>
      <xdr:col>2</xdr:col>
      <xdr:colOff>764244</xdr:colOff>
      <xdr:row>5</xdr:row>
      <xdr:rowOff>123825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0" y="238125"/>
          <a:ext cx="3697944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9"/>
  <sheetViews>
    <sheetView showGridLines="0" tabSelected="1" topLeftCell="A4" zoomScaleNormal="100" workbookViewId="0">
      <selection activeCell="C8" sqref="C8"/>
    </sheetView>
  </sheetViews>
  <sheetFormatPr defaultRowHeight="14.5" outlineLevelRow="1" outlineLevelCol="1" x14ac:dyDescent="0.35"/>
  <cols>
    <col min="1" max="1" width="5.453125" customWidth="1"/>
    <col min="2" max="2" width="66.54296875" customWidth="1"/>
    <col min="3" max="3" width="63.26953125" customWidth="1"/>
    <col min="4" max="4" width="3.7265625" customWidth="1"/>
    <col min="5" max="5" width="8.7265625" customWidth="1"/>
    <col min="6" max="6" width="56.7265625" customWidth="1"/>
    <col min="7" max="7" width="35.7265625" hidden="1" customWidth="1" outlineLevel="1"/>
    <col min="8" max="8" width="25.54296875" hidden="1" customWidth="1" outlineLevel="1"/>
    <col min="9" max="9" width="25.81640625" hidden="1" customWidth="1" outlineLevel="1"/>
    <col min="10" max="10" width="23.1796875" hidden="1" customWidth="1" outlineLevel="1"/>
    <col min="11" max="11" width="26.7265625" hidden="1" customWidth="1" outlineLevel="1"/>
    <col min="12" max="12" width="9.1796875" collapsed="1"/>
  </cols>
  <sheetData>
    <row r="1" spans="2:11" x14ac:dyDescent="0.35">
      <c r="B1" s="4"/>
      <c r="C1" s="4"/>
      <c r="G1" t="s">
        <v>3</v>
      </c>
      <c r="H1" t="s">
        <v>13</v>
      </c>
      <c r="I1" t="s">
        <v>14</v>
      </c>
      <c r="J1" t="s">
        <v>11</v>
      </c>
      <c r="K1" t="s">
        <v>12</v>
      </c>
    </row>
    <row r="2" spans="2:11" x14ac:dyDescent="0.35">
      <c r="B2" s="4"/>
      <c r="C2" s="4"/>
      <c r="G2" t="s">
        <v>4</v>
      </c>
      <c r="H2" s="3">
        <v>6000000</v>
      </c>
      <c r="I2" s="3">
        <v>12000000</v>
      </c>
      <c r="J2" s="3">
        <v>12000000</v>
      </c>
      <c r="K2" s="3">
        <v>12000000</v>
      </c>
    </row>
    <row r="3" spans="2:11" x14ac:dyDescent="0.35">
      <c r="B3" s="4"/>
      <c r="C3" s="4"/>
      <c r="G3" t="s">
        <v>5</v>
      </c>
      <c r="H3" s="3">
        <v>6000000</v>
      </c>
      <c r="I3" s="3">
        <v>6000000</v>
      </c>
      <c r="J3" s="3">
        <v>6000000</v>
      </c>
      <c r="K3" s="3">
        <v>6000000</v>
      </c>
    </row>
    <row r="4" spans="2:11" x14ac:dyDescent="0.35">
      <c r="B4" s="4"/>
      <c r="C4" s="4"/>
    </row>
    <row r="5" spans="2:11" x14ac:dyDescent="0.35">
      <c r="B5" s="4"/>
      <c r="C5" s="4"/>
    </row>
    <row r="6" spans="2:11" x14ac:dyDescent="0.35">
      <c r="B6" s="4"/>
      <c r="C6" s="4"/>
      <c r="G6" t="s">
        <v>6</v>
      </c>
      <c r="H6" t="s">
        <v>9</v>
      </c>
      <c r="I6" t="s">
        <v>10</v>
      </c>
    </row>
    <row r="7" spans="2:11" ht="15" thickBot="1" x14ac:dyDescent="0.4">
      <c r="B7" s="4"/>
      <c r="C7" s="4"/>
      <c r="G7" t="s">
        <v>7</v>
      </c>
      <c r="H7" s="1">
        <v>7.9899999999999999E-2</v>
      </c>
      <c r="I7" s="2">
        <v>0.08</v>
      </c>
    </row>
    <row r="8" spans="2:11" ht="15" thickBot="1" x14ac:dyDescent="0.4">
      <c r="B8" s="5" t="s">
        <v>0</v>
      </c>
      <c r="C8" s="8" t="s">
        <v>7</v>
      </c>
      <c r="E8" s="12"/>
      <c r="F8" s="13" t="s">
        <v>34</v>
      </c>
      <c r="G8" t="s">
        <v>8</v>
      </c>
      <c r="H8" s="1">
        <v>5.9900000000000002E-2</v>
      </c>
      <c r="I8" s="2">
        <v>0.06</v>
      </c>
    </row>
    <row r="9" spans="2:11" ht="15" thickBot="1" x14ac:dyDescent="0.4">
      <c r="B9" s="6" t="s">
        <v>57</v>
      </c>
      <c r="C9" s="10" t="s">
        <v>50</v>
      </c>
      <c r="E9" s="14"/>
      <c r="F9" s="13" t="s">
        <v>35</v>
      </c>
    </row>
    <row r="10" spans="2:11" x14ac:dyDescent="0.35">
      <c r="B10" s="6" t="s">
        <v>1</v>
      </c>
      <c r="C10" s="10" t="s">
        <v>4</v>
      </c>
    </row>
    <row r="11" spans="2:11" x14ac:dyDescent="0.35">
      <c r="B11" s="6" t="s">
        <v>15</v>
      </c>
      <c r="C11" s="40">
        <v>20000000</v>
      </c>
      <c r="G11" t="s">
        <v>18</v>
      </c>
    </row>
    <row r="12" spans="2:11" x14ac:dyDescent="0.35">
      <c r="B12" s="6" t="str">
        <f>IF(C20=G21,"Минимальный размер ПВ, % (максимальное значение из двух кредитов)","Минимальный размер ПВ, %")</f>
        <v>Минимальный размер ПВ, % (максимальное значение из двух кредитов)</v>
      </c>
      <c r="C12" s="18">
        <f>IF(C20=G21,H59,VLOOKUP(C8,G57:H58,2,0))</f>
        <v>0.30009999999999998</v>
      </c>
      <c r="G12" t="s">
        <v>19</v>
      </c>
    </row>
    <row r="13" spans="2:11" x14ac:dyDescent="0.35">
      <c r="B13" s="6" t="s">
        <v>16</v>
      </c>
      <c r="C13" s="38">
        <v>7000000</v>
      </c>
      <c r="D13" s="23" t="str">
        <f>IF(AND(C9="Самозанятый",C19="Да"),"Самозанятые не кредитуются по двум документам",IF(C13/C11&lt;C12,"Минимальный размер ПВ "&amp;C12*C11/1000000&amp;" млн рублей",""))</f>
        <v/>
      </c>
    </row>
    <row r="14" spans="2:11" x14ac:dyDescent="0.35">
      <c r="B14" s="27" t="s">
        <v>43</v>
      </c>
      <c r="C14" s="38">
        <v>0</v>
      </c>
      <c r="D14" s="23"/>
      <c r="G14" t="s">
        <v>27</v>
      </c>
      <c r="H14" t="s">
        <v>28</v>
      </c>
      <c r="I14" t="s">
        <v>29</v>
      </c>
    </row>
    <row r="15" spans="2:11" x14ac:dyDescent="0.35">
      <c r="B15" s="7" t="s">
        <v>17</v>
      </c>
      <c r="C15" s="39">
        <f>C11-C13</f>
        <v>13000000</v>
      </c>
      <c r="D15" s="23" t="str">
        <f>IF(AND(OR(C20=G19,C20=G20),VLOOKUP(C10,G30:H31,2,0)&lt;C15),"Максимальная сумма кредита "&amp;VLOOKUP(C10,G30:H31,2,0)/1000000&amp;" млн по субсидированию застройщиком","")</f>
        <v/>
      </c>
      <c r="G15" t="s">
        <v>21</v>
      </c>
      <c r="I15" s="1">
        <f>H7</f>
        <v>7.9899999999999999E-2</v>
      </c>
    </row>
    <row r="16" spans="2:11" x14ac:dyDescent="0.35">
      <c r="B16" s="7" t="s">
        <v>2</v>
      </c>
      <c r="C16" s="9">
        <v>360</v>
      </c>
      <c r="D16" s="23"/>
      <c r="G16" t="s">
        <v>22</v>
      </c>
      <c r="I16" s="1">
        <f>H8</f>
        <v>5.9900000000000002E-2</v>
      </c>
    </row>
    <row r="17" spans="2:10" x14ac:dyDescent="0.35">
      <c r="B17" s="7" t="str">
        <f>IF(C20=G21,"Наличие страхования жизни по первому кредиту","Наличие страхования жизни")</f>
        <v>Наличие страхования жизни по первому кредиту</v>
      </c>
      <c r="C17" s="9" t="s">
        <v>18</v>
      </c>
      <c r="D17" s="23" t="str">
        <f>IF(AND(C8=G8,C17="Нет"),"Страхование жизни обязательно по семейной ипотеке","")</f>
        <v/>
      </c>
      <c r="I17" s="1">
        <f>I7</f>
        <v>0.08</v>
      </c>
      <c r="J17" t="s">
        <v>23</v>
      </c>
    </row>
    <row r="18" spans="2:10" x14ac:dyDescent="0.35">
      <c r="B18" s="17" t="str">
        <f>IF(OR(AND(C8=G7,C15&gt;VLOOKUP(C10,G2:K3,4,0)),AND(C8=G8,C15&gt;VLOOKUP(C10,G2:K3,5,0))),"Субсидирование застройщиком суммы сверх лимита 12/6 млн","")</f>
        <v>Субсидирование застройщиком суммы сверх лимита 12/6 млн</v>
      </c>
      <c r="C18" s="10" t="s">
        <v>19</v>
      </c>
      <c r="I18" s="1">
        <f>I8</f>
        <v>0.06</v>
      </c>
      <c r="J18" t="s">
        <v>24</v>
      </c>
    </row>
    <row r="19" spans="2:10" x14ac:dyDescent="0.35">
      <c r="B19" s="24" t="s">
        <v>58</v>
      </c>
      <c r="C19" s="22" t="s">
        <v>19</v>
      </c>
      <c r="G19" t="s">
        <v>25</v>
      </c>
      <c r="H19" t="s">
        <v>36</v>
      </c>
      <c r="I19" s="1">
        <f>I7</f>
        <v>0.08</v>
      </c>
    </row>
    <row r="20" spans="2:10" ht="15" thickBot="1" x14ac:dyDescent="0.4">
      <c r="B20" s="11" t="s">
        <v>20</v>
      </c>
      <c r="C20" s="21" t="str">
        <f>IF(AND(C8=G7,C15&lt;=VLOOKUP(C10,G2:K3,2,0)),G15,IF(AND(C8=G8,C15&lt;=VLOOKUP(C10,G2:K3,3,0)),G16,IF(AND(C8=G7,VLOOKUP(C10,G2:K3,2,0)&lt;C15,C15&lt;=VLOOKUP(C10,G2:K3,4,0)),G17,IF(AND(C8=G8,VLOOKUP(C10,G2:K3,3,0)&lt;C15,C15&lt;=VLOOKUP(C10,G2:K3,5,0)),G18,IF(AND(C8=G7,C15&gt;VLOOKUP(C10,G2:K3,4,0),C18="Да"),G19,IF(AND(C8=G8,C15&gt;VLOOKUP(C10,G2:K3,5,0),C18="Да"),G20,G21))))))</f>
        <v>Сверхлимит (два кредита)</v>
      </c>
      <c r="G20" t="s">
        <v>26</v>
      </c>
      <c r="H20" t="s">
        <v>36</v>
      </c>
      <c r="I20" s="1">
        <f>I8</f>
        <v>0.06</v>
      </c>
    </row>
    <row r="21" spans="2:10" ht="15" thickBot="1" x14ac:dyDescent="0.4">
      <c r="B21" s="64" t="str">
        <f>IF(VLOOKUP(C20,G15:H21,2,0)=0,"",VLOOKUP(C20,G15:H21,2,0))</f>
        <v>Сверхлимит (акция «Последипотека»)</v>
      </c>
      <c r="C21" s="64"/>
      <c r="G21" t="s">
        <v>48</v>
      </c>
      <c r="H21" t="s">
        <v>49</v>
      </c>
    </row>
    <row r="22" spans="2:10" ht="15" thickBot="1" x14ac:dyDescent="0.4">
      <c r="B22" s="65" t="str">
        <f>IF(C20=G21,"Параметры первого кредита (госпрограмма)","Параметры кредита")</f>
        <v>Параметры первого кредита (госпрограмма)</v>
      </c>
      <c r="C22" s="66"/>
    </row>
    <row r="23" spans="2:10" x14ac:dyDescent="0.35">
      <c r="B23" s="15" t="s">
        <v>17</v>
      </c>
      <c r="C23" s="41">
        <f>IF(AND(C20=G21,C8=G7),VLOOKUP(C10,G2:I3,2,0),IF(AND(C20=G21,C8=G8),VLOOKUP(C10,G2:I3,3,0),C15))</f>
        <v>6000000</v>
      </c>
    </row>
    <row r="24" spans="2:10" x14ac:dyDescent="0.35">
      <c r="B24" s="17" t="s">
        <v>32</v>
      </c>
      <c r="C24" s="18">
        <f>IF(C20=G21,VLOOKUP(C8,G7:H8,2,0),VLOOKUP(C20,G15:I20,3,0))+IF(AND(C8=G7,C17="Нет"),H25,0)</f>
        <v>7.9899999999999999E-2</v>
      </c>
      <c r="G24" t="s">
        <v>37</v>
      </c>
    </row>
    <row r="25" spans="2:10" x14ac:dyDescent="0.35">
      <c r="B25" s="17" t="s">
        <v>2</v>
      </c>
      <c r="C25" s="16">
        <f>C16</f>
        <v>360</v>
      </c>
      <c r="G25" t="s">
        <v>38</v>
      </c>
      <c r="H25" s="1">
        <v>0.01</v>
      </c>
    </row>
    <row r="26" spans="2:10" ht="15" thickBot="1" x14ac:dyDescent="0.4">
      <c r="B26" s="17" t="s">
        <v>33</v>
      </c>
      <c r="C26" s="39">
        <f>-PMT(C24/12,C25,C23)</f>
        <v>43984.054442125809</v>
      </c>
      <c r="G26" t="s">
        <v>39</v>
      </c>
      <c r="H26" s="1">
        <v>5.0000000000000001E-3</v>
      </c>
    </row>
    <row r="27" spans="2:10" hidden="1" outlineLevel="1" x14ac:dyDescent="0.35">
      <c r="B27" s="19" t="str">
        <f>IF(C20=G21,"Стоимость объекта залога (для Ритейл)*, руб","")</f>
        <v>Стоимость объекта залога (для Ритейл)*, руб</v>
      </c>
      <c r="C27" s="41">
        <f>IF(C20=G21,C11*(C23/C15),"")</f>
        <v>9230769.2307692319</v>
      </c>
      <c r="G27" t="s">
        <v>40</v>
      </c>
      <c r="H27" s="1">
        <v>5.0000000000000001E-3</v>
      </c>
    </row>
    <row r="28" spans="2:10" hidden="1" outlineLevel="1" x14ac:dyDescent="0.35">
      <c r="B28" s="19" t="str">
        <f>IF(C20=G21,"Первоначальный взнос (для Ритейл)*, руб","")</f>
        <v>Первоначальный взнос (для Ритейл)*, руб</v>
      </c>
      <c r="C28" s="41">
        <f>IF(C20=G21,C13*(C23/C15),"")</f>
        <v>3230769.230769231</v>
      </c>
    </row>
    <row r="29" spans="2:10" hidden="1" outlineLevel="1" x14ac:dyDescent="0.35">
      <c r="B29" s="26" t="str">
        <f>IF(C20=G21,"Размер МСК (для Ритейл)*, руб","")</f>
        <v>Размер МСК (для Ритейл)*, руб</v>
      </c>
      <c r="C29" s="42">
        <f>IF(C20=G21,C14*(C23/C15),"")</f>
        <v>0</v>
      </c>
      <c r="G29" t="s">
        <v>41</v>
      </c>
      <c r="H29" t="s">
        <v>42</v>
      </c>
    </row>
    <row r="30" spans="2:10" ht="15" hidden="1" outlineLevel="1" thickBot="1" x14ac:dyDescent="0.4">
      <c r="B30" s="26" t="str">
        <f>IF(C20=G21,"ПВ за вычетом МСК (для Ритейл)*, руб","")</f>
        <v>ПВ за вычетом МСК (для Ритейл)*, руб</v>
      </c>
      <c r="C30" s="42">
        <f>IF(C20=G21,(C13-C14)*(C23/C15),"")</f>
        <v>3230769.230769231</v>
      </c>
      <c r="G30" t="s">
        <v>4</v>
      </c>
      <c r="H30" s="3">
        <v>30000000</v>
      </c>
    </row>
    <row r="31" spans="2:10" ht="15" collapsed="1" thickBot="1" x14ac:dyDescent="0.4">
      <c r="B31" s="65" t="str">
        <f>IF(C20=G21,"Параметры второго кредита (рыночная программа)","")</f>
        <v>Параметры второго кредита (рыночная программа)</v>
      </c>
      <c r="C31" s="66"/>
      <c r="G31" t="s">
        <v>5</v>
      </c>
      <c r="H31" s="3">
        <v>15000000</v>
      </c>
    </row>
    <row r="32" spans="2:10" x14ac:dyDescent="0.35">
      <c r="B32" s="31" t="str">
        <f>IF(C20=G21,"Тарифный план","")</f>
        <v>Тарифный план</v>
      </c>
      <c r="C32" s="29" t="s">
        <v>44</v>
      </c>
    </row>
    <row r="33" spans="2:13" x14ac:dyDescent="0.35">
      <c r="B33" s="36" t="str">
        <f>IF(AND(C20=G21,C32=G39),"Поле для ввода персональной ставки","")</f>
        <v/>
      </c>
      <c r="C33" s="37">
        <v>0.11</v>
      </c>
    </row>
    <row r="34" spans="2:13" ht="16.5" customHeight="1" x14ac:dyDescent="0.35">
      <c r="B34" s="17" t="str">
        <f>IF(C20=G21,"Наличие страхования жизни по второму кредиту","")</f>
        <v>Наличие страхования жизни по второму кредиту</v>
      </c>
      <c r="C34" s="29" t="s">
        <v>18</v>
      </c>
      <c r="H34" t="s">
        <v>30</v>
      </c>
      <c r="I34" t="s">
        <v>31</v>
      </c>
      <c r="J34" s="3">
        <v>6000000</v>
      </c>
    </row>
    <row r="35" spans="2:13" x14ac:dyDescent="0.35">
      <c r="B35" s="30" t="str">
        <f>IF(C20=G21,"Сумма кредита, руб","")</f>
        <v>Сумма кредита, руб</v>
      </c>
      <c r="C35" s="41">
        <f>IF(C20=G21,C15-C23,"")</f>
        <v>7000000</v>
      </c>
      <c r="D35" s="45" t="str">
        <f>IF(C35&lt;500000,"Минимальная сумма кредита 500 000","")</f>
        <v/>
      </c>
      <c r="G35" t="s">
        <v>44</v>
      </c>
      <c r="H35" s="1">
        <v>0.1769</v>
      </c>
      <c r="I35" s="1">
        <v>0.1719</v>
      </c>
      <c r="K35" s="1"/>
      <c r="L35" s="1"/>
      <c r="M35" s="1"/>
    </row>
    <row r="36" spans="2:13" x14ac:dyDescent="0.35">
      <c r="B36" s="17" t="str">
        <f>IF(C20=G21,"Процентная ставка, %","")</f>
        <v>Процентная ставка, %</v>
      </c>
      <c r="C36" s="18">
        <f>IF(AND(C20=G21,C32=G39),C33,(IF(C20=G21,IF(C35&gt;=J34,VLOOKUP(C32,G35:I38,3,0)+IF(C19="Да",H26,0)+IF(C13/C11&lt;20%,H27,0)+IF(C34="Нет",H25,0),VLOOKUP(C32,G35:I38,2,0)+IF(C19="Да",H26,0)+IF(C13/C11&lt;20%,H27,0)+IF(C34="Нет",H25,0)),"")))</f>
        <v>0.1719</v>
      </c>
      <c r="G36" t="s">
        <v>45</v>
      </c>
      <c r="H36" s="1">
        <v>0.1749</v>
      </c>
      <c r="I36" s="1">
        <v>0.1719</v>
      </c>
      <c r="K36" s="1"/>
      <c r="L36" s="1"/>
      <c r="M36" s="1"/>
    </row>
    <row r="37" spans="2:13" x14ac:dyDescent="0.35">
      <c r="B37" s="17" t="str">
        <f>IF(C20=G21,"Срок кредита, мес","")</f>
        <v>Срок кредита, мес</v>
      </c>
      <c r="C37" s="16">
        <f>IF(C20=G21,C16,"")</f>
        <v>360</v>
      </c>
      <c r="G37" t="s">
        <v>46</v>
      </c>
      <c r="H37" s="1">
        <v>0.1719</v>
      </c>
      <c r="I37" s="1">
        <v>0.1719</v>
      </c>
      <c r="K37" s="1"/>
      <c r="L37" s="1"/>
      <c r="M37" s="1"/>
    </row>
    <row r="38" spans="2:13" x14ac:dyDescent="0.35">
      <c r="B38" s="17" t="str">
        <f>IF(C20=G21,"Ежемесячный платёж, руб","")</f>
        <v>Ежемесячный платёж, руб</v>
      </c>
      <c r="C38" s="41">
        <f>IF(C20=G21,-PMT(C36/12,C37,C35),"")</f>
        <v>100877.59852322841</v>
      </c>
      <c r="G38" t="s">
        <v>47</v>
      </c>
      <c r="H38" s="1">
        <v>0.1749</v>
      </c>
      <c r="I38" s="1">
        <v>0.1719</v>
      </c>
      <c r="K38" s="1"/>
      <c r="L38" s="1"/>
      <c r="M38" s="1"/>
    </row>
    <row r="39" spans="2:13" hidden="1" outlineLevel="1" x14ac:dyDescent="0.35">
      <c r="B39" s="19" t="str">
        <f>IF(C20=G21,"Стоимость объекта залога (для Ритейл)*, руб","")</f>
        <v>Стоимость объекта залога (для Ритейл)*, руб</v>
      </c>
      <c r="C39" s="41">
        <f>IF(C20=G21,C11*(C35/C15),"")</f>
        <v>10769230.769230768</v>
      </c>
      <c r="G39" t="s">
        <v>59</v>
      </c>
    </row>
    <row r="40" spans="2:13" hidden="1" outlineLevel="1" x14ac:dyDescent="0.35">
      <c r="B40" s="19" t="str">
        <f>IF(C20=G21,"Первоначальный взнос (для Ритейл)*, руб","")</f>
        <v>Первоначальный взнос (для Ритейл)*, руб</v>
      </c>
      <c r="C40" s="41">
        <f>IF(C20=G21,C13*(C35/C15),"")</f>
        <v>3769230.769230769</v>
      </c>
    </row>
    <row r="41" spans="2:13" hidden="1" outlineLevel="1" x14ac:dyDescent="0.35">
      <c r="B41" s="28" t="str">
        <f>IF(C20=G21,"Размер МСК (для Ритейл)*, руб","")</f>
        <v>Размер МСК (для Ритейл)*, руб</v>
      </c>
      <c r="C41" s="43">
        <f>IF(C20=G21,C14*(C35/C15),"")</f>
        <v>0</v>
      </c>
      <c r="G41" t="s">
        <v>7</v>
      </c>
      <c r="H41" t="s">
        <v>53</v>
      </c>
      <c r="I41" t="s">
        <v>54</v>
      </c>
    </row>
    <row r="42" spans="2:13" hidden="1" outlineLevel="1" x14ac:dyDescent="0.35">
      <c r="B42" s="28" t="str">
        <f>IF(C20=G21,"ПВ за вычетом МСК (для Ритейл)*, руб","")</f>
        <v>ПВ за вычетом МСК (для Ритейл)*, руб</v>
      </c>
      <c r="C42" s="43">
        <f>IF(C20=G21,(C13-C14)*(C35/C15),"")</f>
        <v>3769230.769230769</v>
      </c>
      <c r="G42" t="s">
        <v>50</v>
      </c>
      <c r="H42" s="1">
        <v>0.30009999999999998</v>
      </c>
      <c r="I42" s="1">
        <v>0.30009999999999998</v>
      </c>
    </row>
    <row r="43" spans="2:13" collapsed="1" x14ac:dyDescent="0.35">
      <c r="B43" s="33" t="str">
        <f>IF(C20=G21,"Средневзвешенная ставка, %","")</f>
        <v>Средневзвешенная ставка, %</v>
      </c>
      <c r="C43" s="34">
        <f>IF(C20=G21,C24*(C23/C15)+C36*(C35/C15),"")</f>
        <v>0.12943846153846153</v>
      </c>
      <c r="G43" t="s">
        <v>51</v>
      </c>
      <c r="H43" s="1">
        <v>0.30009999999999998</v>
      </c>
      <c r="I43" s="1">
        <v>0.30009999999999998</v>
      </c>
    </row>
    <row r="44" spans="2:13" ht="15" thickBot="1" x14ac:dyDescent="0.4">
      <c r="B44" s="32" t="str">
        <f>IF(C20=G21,"Итоговая сумма платежа, руб","")</f>
        <v>Итоговая сумма платежа, руб</v>
      </c>
      <c r="C44" s="44">
        <f>IF(C20=G21,C26+C38,"")</f>
        <v>144861.65296535421</v>
      </c>
      <c r="G44" t="s">
        <v>52</v>
      </c>
      <c r="H44" s="1">
        <v>0.30009999999999998</v>
      </c>
      <c r="I44" t="s">
        <v>56</v>
      </c>
    </row>
    <row r="45" spans="2:13" ht="15.5" x14ac:dyDescent="0.35">
      <c r="B45" s="25" t="str">
        <f>IF(C20=G21,"*См. инструкцию","")</f>
        <v>*См. инструкцию</v>
      </c>
      <c r="C45" s="20"/>
    </row>
    <row r="46" spans="2:13" x14ac:dyDescent="0.35">
      <c r="B46" s="20"/>
      <c r="C46" s="20"/>
      <c r="G46" t="s">
        <v>8</v>
      </c>
      <c r="H46" t="s">
        <v>53</v>
      </c>
      <c r="I46" t="s">
        <v>54</v>
      </c>
    </row>
    <row r="47" spans="2:13" x14ac:dyDescent="0.35">
      <c r="B47" s="20"/>
      <c r="C47" s="20"/>
      <c r="G47" t="s">
        <v>50</v>
      </c>
      <c r="H47" s="1">
        <v>0.2001</v>
      </c>
      <c r="I47" s="1">
        <v>0.2001</v>
      </c>
    </row>
    <row r="48" spans="2:13" x14ac:dyDescent="0.35">
      <c r="B48" s="20"/>
      <c r="C48" s="20"/>
      <c r="G48" t="s">
        <v>51</v>
      </c>
      <c r="H48" s="1">
        <v>0.2001</v>
      </c>
      <c r="I48" s="1">
        <v>0.30009999999999998</v>
      </c>
    </row>
    <row r="49" spans="7:9" x14ac:dyDescent="0.35">
      <c r="G49" t="s">
        <v>52</v>
      </c>
      <c r="H49" s="1">
        <v>0.2001</v>
      </c>
      <c r="I49" t="s">
        <v>56</v>
      </c>
    </row>
    <row r="51" spans="7:9" x14ac:dyDescent="0.35">
      <c r="G51" t="s">
        <v>55</v>
      </c>
      <c r="H51" t="s">
        <v>53</v>
      </c>
      <c r="I51" t="s">
        <v>54</v>
      </c>
    </row>
    <row r="52" spans="7:9" x14ac:dyDescent="0.35">
      <c r="G52" t="s">
        <v>50</v>
      </c>
      <c r="H52" s="2">
        <v>0.15010000000000001</v>
      </c>
      <c r="I52" s="2">
        <v>0.2</v>
      </c>
    </row>
    <row r="53" spans="7:9" x14ac:dyDescent="0.35">
      <c r="G53" t="s">
        <v>51</v>
      </c>
      <c r="H53" s="1">
        <v>0.2001</v>
      </c>
      <c r="I53" s="1">
        <v>0.30009999999999998</v>
      </c>
    </row>
    <row r="54" spans="7:9" x14ac:dyDescent="0.35">
      <c r="G54" t="s">
        <v>52</v>
      </c>
      <c r="H54" s="1">
        <v>0.2001</v>
      </c>
      <c r="I54" t="s">
        <v>56</v>
      </c>
    </row>
    <row r="57" spans="7:9" x14ac:dyDescent="0.35">
      <c r="G57" t="s">
        <v>7</v>
      </c>
      <c r="H57" s="35">
        <f>VLOOKUP(C9,$G$42:$I$44,IF(C19="Да",3,2),0)</f>
        <v>0.30009999999999998</v>
      </c>
    </row>
    <row r="58" spans="7:9" x14ac:dyDescent="0.35">
      <c r="G58" t="s">
        <v>8</v>
      </c>
      <c r="H58" s="35">
        <f>VLOOKUP(C9,$G$47:$I$49,IF(C19="Да",3,2),0)</f>
        <v>0.2001</v>
      </c>
    </row>
    <row r="59" spans="7:9" x14ac:dyDescent="0.35">
      <c r="G59" t="s">
        <v>48</v>
      </c>
      <c r="H59" s="35">
        <f>IFERROR(MAX(VLOOKUP(C9,$G$52:$I$54,IF(C19="Да",3,2),0),VLOOKUP(C8,$G$57:$H$58,2,0)),"Самозанятые не кредитуются по двум документам")</f>
        <v>0.30009999999999998</v>
      </c>
    </row>
  </sheetData>
  <sheetProtection algorithmName="SHA-512" hashValue="aqKR4XxkgnKPe/cXWG1DfV1Ngo42tSG0A9lwBisO2nm4tJL7Qm5ND36NBvwbiJeAGpZZrIUmU+FjBriWdS/T8Q==" saltValue="FAuNUTs76fk42lJFHS2iqg==" spinCount="100000" sheet="1" objects="1" scenarios="1"/>
  <protectedRanges>
    <protectedRange sqref="C16:C19 C8:C11 C13:C14 C32:C34" name="Диапазон1"/>
  </protectedRanges>
  <mergeCells count="3">
    <mergeCell ref="B21:C21"/>
    <mergeCell ref="B22:C22"/>
    <mergeCell ref="B31:C31"/>
  </mergeCells>
  <conditionalFormatting sqref="B28:C44">
    <cfRule type="expression" dxfId="27" priority="13">
      <formula>$C$20&lt;&gt;$G$21</formula>
    </cfRule>
  </conditionalFormatting>
  <conditionalFormatting sqref="C18">
    <cfRule type="expression" dxfId="26" priority="12">
      <formula>$B$18=""</formula>
    </cfRule>
  </conditionalFormatting>
  <conditionalFormatting sqref="B27:C27">
    <cfRule type="expression" dxfId="25" priority="11">
      <formula>$C$20&lt;&gt;$G$21</formula>
    </cfRule>
  </conditionalFormatting>
  <conditionalFormatting sqref="C19">
    <cfRule type="expression" dxfId="24" priority="10">
      <formula>$B$19=""</formula>
    </cfRule>
  </conditionalFormatting>
  <conditionalFormatting sqref="C17">
    <cfRule type="expression" dxfId="23" priority="9">
      <formula>$D$17&lt;&gt;""</formula>
    </cfRule>
  </conditionalFormatting>
  <conditionalFormatting sqref="C15">
    <cfRule type="expression" dxfId="22" priority="8">
      <formula>$D$15&lt;&gt;""</formula>
    </cfRule>
  </conditionalFormatting>
  <conditionalFormatting sqref="C32:C33">
    <cfRule type="expression" dxfId="21" priority="7">
      <formula>$B$32=""</formula>
    </cfRule>
  </conditionalFormatting>
  <conditionalFormatting sqref="C13">
    <cfRule type="expression" dxfId="20" priority="6">
      <formula>$D$13&lt;&gt;""</formula>
    </cfRule>
  </conditionalFormatting>
  <conditionalFormatting sqref="C12">
    <cfRule type="expression" dxfId="19" priority="4">
      <formula>$C$12=$I$44</formula>
    </cfRule>
    <cfRule type="expression" dxfId="18" priority="5">
      <formula>$D$15&lt;&gt;""</formula>
    </cfRule>
  </conditionalFormatting>
  <conditionalFormatting sqref="C34">
    <cfRule type="expression" dxfId="17" priority="2">
      <formula>$B$32=""</formula>
    </cfRule>
  </conditionalFormatting>
  <conditionalFormatting sqref="C33">
    <cfRule type="expression" dxfId="16" priority="1">
      <formula>$B$33=""</formula>
    </cfRule>
  </conditionalFormatting>
  <dataValidations count="5">
    <dataValidation type="list" allowBlank="1" showInputMessage="1" showErrorMessage="1" sqref="C8">
      <formula1>$G$7:$G$8</formula1>
    </dataValidation>
    <dataValidation type="list" allowBlank="1" showInputMessage="1" showErrorMessage="1" sqref="C10">
      <formula1>$G$2:$G$3</formula1>
    </dataValidation>
    <dataValidation type="list" allowBlank="1" showInputMessage="1" showErrorMessage="1" sqref="C17:C19 C34">
      <formula1>$G$11:$G$12</formula1>
    </dataValidation>
    <dataValidation type="list" allowBlank="1" showInputMessage="1" showErrorMessage="1" sqref="C9">
      <formula1>$G$42:$G$44</formula1>
    </dataValidation>
    <dataValidation type="list" allowBlank="1" showInputMessage="1" showErrorMessage="1" sqref="C32">
      <formula1>$G$35:$G$39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2"/>
  <sheetViews>
    <sheetView showGridLines="0" zoomScaleNormal="100" workbookViewId="0">
      <selection activeCell="C14" sqref="C14"/>
    </sheetView>
  </sheetViews>
  <sheetFormatPr defaultRowHeight="14.5" outlineLevelRow="1" outlineLevelCol="1" x14ac:dyDescent="0.35"/>
  <cols>
    <col min="1" max="1" width="5.453125" customWidth="1"/>
    <col min="2" max="2" width="66.54296875" customWidth="1"/>
    <col min="3" max="3" width="63.26953125" customWidth="1"/>
    <col min="4" max="4" width="3.7265625" customWidth="1"/>
    <col min="5" max="5" width="8.7265625" customWidth="1"/>
    <col min="6" max="6" width="56.7265625" customWidth="1"/>
    <col min="7" max="7" width="35.7265625" hidden="1" customWidth="1" outlineLevel="1"/>
    <col min="8" max="8" width="25.54296875" hidden="1" customWidth="1" outlineLevel="1"/>
    <col min="9" max="9" width="25.81640625" hidden="1" customWidth="1" outlineLevel="1"/>
    <col min="10" max="10" width="23.1796875" hidden="1" customWidth="1" outlineLevel="1"/>
    <col min="11" max="11" width="26.7265625" hidden="1" customWidth="1" outlineLevel="1"/>
    <col min="12" max="12" width="9.1796875" collapsed="1"/>
  </cols>
  <sheetData>
    <row r="1" spans="2:11" x14ac:dyDescent="0.35">
      <c r="B1" s="4"/>
      <c r="C1" s="4"/>
      <c r="G1" t="s">
        <v>3</v>
      </c>
      <c r="H1" t="s">
        <v>13</v>
      </c>
      <c r="I1" t="s">
        <v>14</v>
      </c>
      <c r="J1" t="s">
        <v>11</v>
      </c>
      <c r="K1" t="s">
        <v>12</v>
      </c>
    </row>
    <row r="2" spans="2:11" x14ac:dyDescent="0.35">
      <c r="B2" s="4"/>
      <c r="C2" s="4"/>
      <c r="G2" t="s">
        <v>4</v>
      </c>
      <c r="H2" s="3">
        <v>6000000</v>
      </c>
      <c r="I2" s="3">
        <v>12000000</v>
      </c>
      <c r="J2" s="3">
        <v>12000000</v>
      </c>
      <c r="K2" s="3">
        <v>12000000</v>
      </c>
    </row>
    <row r="3" spans="2:11" x14ac:dyDescent="0.35">
      <c r="B3" s="4"/>
      <c r="C3" s="4"/>
      <c r="G3" t="s">
        <v>5</v>
      </c>
      <c r="H3" s="3">
        <v>6000000</v>
      </c>
      <c r="I3" s="3">
        <v>6000000</v>
      </c>
      <c r="J3" s="3">
        <v>6000000</v>
      </c>
      <c r="K3" s="3">
        <v>6000000</v>
      </c>
    </row>
    <row r="4" spans="2:11" x14ac:dyDescent="0.35">
      <c r="B4" s="4"/>
      <c r="C4" s="4"/>
    </row>
    <row r="5" spans="2:11" x14ac:dyDescent="0.35">
      <c r="B5" s="4"/>
      <c r="C5" s="4"/>
    </row>
    <row r="6" spans="2:11" x14ac:dyDescent="0.35">
      <c r="B6" s="4"/>
      <c r="C6" s="4"/>
      <c r="G6" t="s">
        <v>6</v>
      </c>
      <c r="H6" t="s">
        <v>9</v>
      </c>
      <c r="I6" t="s">
        <v>10</v>
      </c>
    </row>
    <row r="7" spans="2:11" ht="15" thickBot="1" x14ac:dyDescent="0.4">
      <c r="B7" s="4"/>
      <c r="C7" s="4"/>
      <c r="G7" t="s">
        <v>7</v>
      </c>
      <c r="H7" s="1">
        <v>7.9899999999999999E-2</v>
      </c>
      <c r="I7" s="2">
        <v>0.08</v>
      </c>
    </row>
    <row r="8" spans="2:11" ht="15" thickBot="1" x14ac:dyDescent="0.4">
      <c r="B8" s="5" t="s">
        <v>0</v>
      </c>
      <c r="C8" s="8" t="s">
        <v>7</v>
      </c>
      <c r="E8" s="12"/>
      <c r="F8" s="13" t="s">
        <v>34</v>
      </c>
      <c r="G8" t="s">
        <v>8</v>
      </c>
      <c r="H8" s="1">
        <v>5.9900000000000002E-2</v>
      </c>
      <c r="I8" s="2">
        <v>0.06</v>
      </c>
    </row>
    <row r="9" spans="2:11" ht="15" thickBot="1" x14ac:dyDescent="0.4">
      <c r="B9" s="6" t="s">
        <v>57</v>
      </c>
      <c r="C9" s="10" t="s">
        <v>50</v>
      </c>
      <c r="E9" s="14"/>
      <c r="F9" s="13" t="s">
        <v>35</v>
      </c>
    </row>
    <row r="10" spans="2:11" x14ac:dyDescent="0.35">
      <c r="B10" s="6" t="s">
        <v>1</v>
      </c>
      <c r="C10" s="10" t="s">
        <v>4</v>
      </c>
    </row>
    <row r="11" spans="2:11" x14ac:dyDescent="0.35">
      <c r="B11" s="6" t="s">
        <v>15</v>
      </c>
      <c r="C11" s="40">
        <v>20000000</v>
      </c>
      <c r="G11" t="s">
        <v>18</v>
      </c>
    </row>
    <row r="12" spans="2:11" x14ac:dyDescent="0.35">
      <c r="B12" s="6" t="str">
        <f>IF(C20=G22,"Минимальный размер ПВ, % (максимальное значение из двух кредитов)","Минимальный размер ПВ, %")</f>
        <v>Минимальный размер ПВ, % (максимальное значение из двух кредитов)</v>
      </c>
      <c r="C12" s="18">
        <f>IF(C20=G22,H72,VLOOKUP(C8,G70:H71,2,0))</f>
        <v>0.30009999999999998</v>
      </c>
      <c r="G12" t="s">
        <v>19</v>
      </c>
    </row>
    <row r="13" spans="2:11" x14ac:dyDescent="0.35">
      <c r="B13" s="6" t="s">
        <v>16</v>
      </c>
      <c r="C13" s="38">
        <v>7000000</v>
      </c>
      <c r="D13" s="23" t="str">
        <f>IF(AND(C9="Самозанятый",C19="Да"),"Самозанятые не кредитуются по двум документам",IF(C13/C11&lt;C12,"Минимальный размер ПВ "&amp;C12*C11/1000000&amp;" млн рублей",""))</f>
        <v/>
      </c>
    </row>
    <row r="14" spans="2:11" x14ac:dyDescent="0.35">
      <c r="B14" s="27" t="s">
        <v>43</v>
      </c>
      <c r="C14" s="38">
        <v>0</v>
      </c>
      <c r="D14" s="23"/>
      <c r="G14" t="s">
        <v>27</v>
      </c>
      <c r="H14" t="s">
        <v>28</v>
      </c>
      <c r="I14" t="s">
        <v>29</v>
      </c>
    </row>
    <row r="15" spans="2:11" x14ac:dyDescent="0.35">
      <c r="B15" s="7" t="s">
        <v>17</v>
      </c>
      <c r="C15" s="39">
        <f>C11-C13</f>
        <v>13000000</v>
      </c>
      <c r="D15" s="23" t="str">
        <f>IF(AND(OR(C20=G20,C20=G21),VLOOKUP(C10,G36:H37,2,0)&lt;C15),"Максимальная сумма кредита "&amp;VLOOKUP(C10,G36:H37,2,0)/1000000&amp;" млн по субсидированию застройщиком","")</f>
        <v/>
      </c>
      <c r="G15" t="s">
        <v>21</v>
      </c>
      <c r="I15" s="1">
        <f>H7</f>
        <v>7.9899999999999999E-2</v>
      </c>
    </row>
    <row r="16" spans="2:11" x14ac:dyDescent="0.35">
      <c r="B16" s="7" t="s">
        <v>2</v>
      </c>
      <c r="C16" s="9">
        <v>360</v>
      </c>
      <c r="D16" s="23"/>
      <c r="G16" t="s">
        <v>22</v>
      </c>
      <c r="I16" s="1">
        <f>H8</f>
        <v>5.9900000000000002E-2</v>
      </c>
    </row>
    <row r="17" spans="2:10" x14ac:dyDescent="0.35">
      <c r="B17" s="7" t="str">
        <f>IF(C20=G22,"Наличие страхования жизни по первому кредиту","Наличие страхования жизни")</f>
        <v>Наличие страхования жизни по первому кредиту</v>
      </c>
      <c r="C17" s="9" t="s">
        <v>18</v>
      </c>
      <c r="D17" s="23"/>
      <c r="I17" s="1"/>
    </row>
    <row r="18" spans="2:10" x14ac:dyDescent="0.35">
      <c r="B18" s="17" t="str">
        <f>IF(OR(AND(C8=G7,C15&gt;VLOOKUP(C10,G2:K3,4,0)),AND(C8=G8,C15&gt;VLOOKUP(C10,G2:K3,5,0))),"Субсидирование застройщиком суммы сверх лимита 12/6 млн","")</f>
        <v>Субсидирование застройщиком суммы сверх лимита 12/6 млн</v>
      </c>
      <c r="C18" s="10" t="s">
        <v>19</v>
      </c>
      <c r="D18" s="23" t="str">
        <f>IF(AND(C8=G8,C17="Нет"),"Страхование жизни обязательно по семейной ипотеке","")</f>
        <v/>
      </c>
      <c r="I18" s="1">
        <f>I7</f>
        <v>0.08</v>
      </c>
      <c r="J18" t="s">
        <v>23</v>
      </c>
    </row>
    <row r="19" spans="2:10" x14ac:dyDescent="0.35">
      <c r="B19" s="24" t="s">
        <v>58</v>
      </c>
      <c r="C19" s="22" t="s">
        <v>19</v>
      </c>
      <c r="I19" s="1">
        <f>I8</f>
        <v>0.06</v>
      </c>
      <c r="J19" t="s">
        <v>24</v>
      </c>
    </row>
    <row r="20" spans="2:10" ht="15" thickBot="1" x14ac:dyDescent="0.4">
      <c r="B20" s="11" t="s">
        <v>20</v>
      </c>
      <c r="C20" s="21" t="str">
        <f>IF(AND(C8=G7,C15&lt;=VLOOKUP(C10,G2:K3,2,0)),G15,IF(AND(C8=G8,C15&lt;=VLOOKUP(C10,G2:K3,3,0)),G16,IF(AND(C8=G7,VLOOKUP(C10,G2:K3,2,0)&lt;C15,C15&lt;=VLOOKUP(C10,G2:K3,4,0)),G18,IF(AND(C8=G8,VLOOKUP(C10,G2:K3,3,0)&lt;C15,C15&lt;=VLOOKUP(C10,G2:K3,5,0)),G19,IF(AND(C8=G7,C15&gt;VLOOKUP(C10,G2:K3,4,0),C18="Да"),G20,IF(AND(C8=G8,C15&gt;VLOOKUP(C10,G2:K3,5,0),C18="Да"),G21,G22))))))</f>
        <v>Сверхлимит (два кредита)</v>
      </c>
      <c r="G20" t="s">
        <v>25</v>
      </c>
      <c r="H20" t="s">
        <v>36</v>
      </c>
      <c r="I20" s="1">
        <f>I7</f>
        <v>0.08</v>
      </c>
    </row>
    <row r="21" spans="2:10" ht="15" thickBot="1" x14ac:dyDescent="0.4">
      <c r="B21" s="64" t="str">
        <f>IF(VLOOKUP(C20,G15:H22,2,0)=0,"",VLOOKUP(C20,G15:H22,2,0))</f>
        <v>Сверхлимит (акция «Последипотека»)</v>
      </c>
      <c r="C21" s="64"/>
      <c r="G21" t="s">
        <v>26</v>
      </c>
      <c r="H21" t="s">
        <v>36</v>
      </c>
      <c r="I21" s="1">
        <f>I8</f>
        <v>0.06</v>
      </c>
    </row>
    <row r="22" spans="2:10" ht="15" thickBot="1" x14ac:dyDescent="0.4">
      <c r="B22" s="65" t="str">
        <f>IF(C20=G22,"Параметры первого кредита (госпрограмма)","Параметры кредита")</f>
        <v>Параметры первого кредита (госпрограмма)</v>
      </c>
      <c r="C22" s="66"/>
      <c r="G22" t="s">
        <v>48</v>
      </c>
      <c r="H22" t="s">
        <v>49</v>
      </c>
    </row>
    <row r="23" spans="2:10" x14ac:dyDescent="0.35">
      <c r="B23" s="15" t="s">
        <v>17</v>
      </c>
      <c r="C23" s="41">
        <f>IF(AND(C20=G22,C8=G7),VLOOKUP(C10,G2:I3,2,0),IF(AND(C20=G22,C8=G8),VLOOKUP(C10,G2:I3,3,0),C15))</f>
        <v>6000000</v>
      </c>
    </row>
    <row r="24" spans="2:10" x14ac:dyDescent="0.35">
      <c r="B24" s="17" t="s">
        <v>32</v>
      </c>
      <c r="C24" s="18">
        <f>IF(C26="да",IF(C20=G22,VLOOKUP(C8,G7:I8,3,0),VLOOKUP(C20,G15:I21,3,0))+IF(AND(C8=G7,C17="Нет"),H26,0),IF(C20=G22,VLOOKUP(C8,G7:I8,2,0),VLOOKUP(C20,G15:I21,3,0))+IF(AND(C8=G7,C17="Нет"),H26,0))</f>
        <v>0.08</v>
      </c>
    </row>
    <row r="25" spans="2:10" x14ac:dyDescent="0.35">
      <c r="B25" s="17" t="s">
        <v>2</v>
      </c>
      <c r="C25" s="16">
        <f>C16</f>
        <v>360</v>
      </c>
      <c r="G25" t="s">
        <v>37</v>
      </c>
    </row>
    <row r="26" spans="2:10" x14ac:dyDescent="0.35">
      <c r="B26" s="56" t="s">
        <v>69</v>
      </c>
      <c r="C26" s="29" t="s">
        <v>67</v>
      </c>
      <c r="G26" t="s">
        <v>38</v>
      </c>
      <c r="H26" s="1">
        <v>0.01</v>
      </c>
    </row>
    <row r="27" spans="2:10" x14ac:dyDescent="0.35">
      <c r="B27" s="57" t="s">
        <v>70</v>
      </c>
      <c r="C27" s="48">
        <v>36</v>
      </c>
      <c r="G27" t="s">
        <v>39</v>
      </c>
      <c r="H27" s="1">
        <v>5.0000000000000001E-3</v>
      </c>
    </row>
    <row r="28" spans="2:10" x14ac:dyDescent="0.35">
      <c r="B28" s="58" t="str">
        <f>IF(AND(C20=G22,C26="нет"),"Ежемесячный платёж, руб","")</f>
        <v/>
      </c>
      <c r="C28" s="41" t="str">
        <f>IF(AND(C20=G22,C26="нет"),-PMT(C24/12,C25,C23),"")</f>
        <v/>
      </c>
      <c r="H28" s="1"/>
    </row>
    <row r="29" spans="2:10" x14ac:dyDescent="0.35">
      <c r="B29" s="57" t="str">
        <f>IF($C$26="да","Платёж на период рассрочки (в первые "&amp;C27&amp;" месяцев), руб.","")</f>
        <v>Платёж на период рассрочки (в первые 36 месяцев), руб.</v>
      </c>
      <c r="C29" s="39">
        <f>IF(B29="","",-PMT(C32/12,C25,C23))</f>
        <v>25263.894055385401</v>
      </c>
      <c r="H29" s="1"/>
    </row>
    <row r="30" spans="2:10" x14ac:dyDescent="0.35">
      <c r="B30" s="57" t="str">
        <f>IF($C$26="да","Платёж после окончания рассрочки руб.","")</f>
        <v>Платёж после окончания рассрочки руб.</v>
      </c>
      <c r="C30" s="39">
        <f>IF(B29="","",-PMT(C24/12,C25-C27,MIN('Скидка на период отсрочки'!$B$38:$B$74)))</f>
        <v>42330.509002251914</v>
      </c>
      <c r="H30" s="1"/>
    </row>
    <row r="31" spans="2:10" x14ac:dyDescent="0.35">
      <c r="B31" s="57" t="str">
        <f>IF($C$26="да","Скидка к ставке на период рассрочки, %","")</f>
        <v>Скидка к ставке на период рассрочки, %</v>
      </c>
      <c r="C31" s="49">
        <f>IF(B29="","",VLOOKUP(C8,'Скидка на период отсрочки'!$A$2:$B$10,2,0))</f>
        <v>5.0099999999999999E-2</v>
      </c>
      <c r="H31" s="1"/>
    </row>
    <row r="32" spans="2:10" ht="15" thickBot="1" x14ac:dyDescent="0.4">
      <c r="B32" s="57" t="str">
        <f>IF($C$26="да","Ставка на период рассрочки, %","")</f>
        <v>Ставка на период рассрочки, %</v>
      </c>
      <c r="C32" s="49">
        <f>IF(B29="","",C24-C31)</f>
        <v>2.9900000000000003E-2</v>
      </c>
      <c r="H32" s="1"/>
    </row>
    <row r="33" spans="2:10" hidden="1" outlineLevel="1" x14ac:dyDescent="0.35">
      <c r="B33" s="19" t="str">
        <f>IF(C20=G22,"Стоимость объекта залога (для Ритейл)*, руб","")</f>
        <v>Стоимость объекта залога (для Ритейл)*, руб</v>
      </c>
      <c r="C33" s="41">
        <f>IF(C20=G22,C11*(C23/C15),"")</f>
        <v>9230769.2307692319</v>
      </c>
      <c r="G33" t="s">
        <v>40</v>
      </c>
      <c r="H33" s="1">
        <v>5.0000000000000001E-3</v>
      </c>
    </row>
    <row r="34" spans="2:10" hidden="1" outlineLevel="1" x14ac:dyDescent="0.35">
      <c r="B34" s="19" t="str">
        <f>IF(C20=G22,"Первоначальный взнос (для Ритейл)*, руб","")</f>
        <v>Первоначальный взнос (для Ритейл)*, руб</v>
      </c>
      <c r="C34" s="41">
        <f>IF(C20=G22,C13*(C23/C15),"")</f>
        <v>3230769.230769231</v>
      </c>
    </row>
    <row r="35" spans="2:10" hidden="1" outlineLevel="1" x14ac:dyDescent="0.35">
      <c r="B35" s="26" t="str">
        <f>IF(C20=G22,"Размер МСК (для Ритейл)*, руб","")</f>
        <v>Размер МСК (для Ритейл)*, руб</v>
      </c>
      <c r="C35" s="42">
        <f>IF(C20=G22,C14*(C23/C15),"")</f>
        <v>0</v>
      </c>
      <c r="G35" t="s">
        <v>41</v>
      </c>
      <c r="H35" t="s">
        <v>42</v>
      </c>
    </row>
    <row r="36" spans="2:10" ht="15" hidden="1" outlineLevel="1" thickBot="1" x14ac:dyDescent="0.4">
      <c r="B36" s="26" t="str">
        <f>IF(C20=G22,"ПВ за вычетом МСК (для Ритейл)*, руб","")</f>
        <v>ПВ за вычетом МСК (для Ритейл)*, руб</v>
      </c>
      <c r="C36" s="42">
        <f>IF(C20=G22,(C13-C14)*(C23/C15),"")</f>
        <v>3230769.230769231</v>
      </c>
      <c r="G36" t="s">
        <v>4</v>
      </c>
      <c r="H36" s="3">
        <v>30000000</v>
      </c>
    </row>
    <row r="37" spans="2:10" ht="15" collapsed="1" thickBot="1" x14ac:dyDescent="0.4">
      <c r="B37" s="65" t="str">
        <f>IF(C20=G22,"Параметры второго кредита (рыночная программа)","")</f>
        <v>Параметры второго кредита (рыночная программа)</v>
      </c>
      <c r="C37" s="66"/>
      <c r="G37" t="s">
        <v>5</v>
      </c>
      <c r="H37" s="3">
        <v>15000000</v>
      </c>
    </row>
    <row r="38" spans="2:10" x14ac:dyDescent="0.35">
      <c r="B38" s="31" t="str">
        <f>IF(C20=G22,"Тарифный план","")</f>
        <v>Тарифный план</v>
      </c>
      <c r="C38" s="29" t="s">
        <v>44</v>
      </c>
    </row>
    <row r="39" spans="2:10" x14ac:dyDescent="0.35">
      <c r="B39" s="56" t="s">
        <v>69</v>
      </c>
      <c r="C39" s="29" t="s">
        <v>67</v>
      </c>
    </row>
    <row r="40" spans="2:10" x14ac:dyDescent="0.35">
      <c r="B40" s="56" t="s">
        <v>70</v>
      </c>
      <c r="C40" s="29">
        <v>3</v>
      </c>
    </row>
    <row r="41" spans="2:10" x14ac:dyDescent="0.35">
      <c r="B41" s="56" t="str">
        <f>IF(AND(C20=G22,C38=G47),"Поле для ввода персональной ставки","")</f>
        <v/>
      </c>
      <c r="C41" s="37">
        <v>0.11</v>
      </c>
    </row>
    <row r="42" spans="2:10" ht="16.5" customHeight="1" x14ac:dyDescent="0.35">
      <c r="B42" s="58" t="str">
        <f>IF(C20=G22,"Наличие страхования жизни по второму кредиту","")</f>
        <v>Наличие страхования жизни по второму кредиту</v>
      </c>
      <c r="C42" s="29" t="s">
        <v>18</v>
      </c>
      <c r="H42" t="s">
        <v>30</v>
      </c>
      <c r="I42" t="s">
        <v>31</v>
      </c>
      <c r="J42" s="3">
        <v>6000000</v>
      </c>
    </row>
    <row r="43" spans="2:10" x14ac:dyDescent="0.35">
      <c r="B43" s="59" t="str">
        <f>IF(C20=G22,"Сумма кредита, руб","")</f>
        <v>Сумма кредита, руб</v>
      </c>
      <c r="C43" s="41">
        <f>IF(C20=G22,C15-C23,"")</f>
        <v>7000000</v>
      </c>
      <c r="D43" s="45" t="str">
        <f>IF(C43&lt;500000,"Минимальная сумма кредита 500 000","")</f>
        <v/>
      </c>
      <c r="G43" t="s">
        <v>44</v>
      </c>
      <c r="H43" s="1">
        <v>0.1769</v>
      </c>
      <c r="I43" s="1">
        <v>0.1719</v>
      </c>
    </row>
    <row r="44" spans="2:10" x14ac:dyDescent="0.35">
      <c r="B44" s="58" t="str">
        <f>IF(C20=G22,"Процентная ставка, %","")</f>
        <v>Процентная ставка, %</v>
      </c>
      <c r="C44" s="18">
        <f>IF(AND(C20=G22,C38=G47),C41,(IF(C20=G22,IF(C43&gt;=J42,VLOOKUP(C38,G43:I46,3,0)+IF(C19="Да",H27,0)+IF(C13/C11&lt;20%,H33,0)+IF(C42="Нет",H26,0),VLOOKUP(C38,G43:I46,2,0)+IF(C19="Да",H27,0)+IF(C13/C11&lt;20%,H33,0)+IF(C42="Нет",H26,0)),"")))</f>
        <v>0.1719</v>
      </c>
      <c r="G44" t="s">
        <v>45</v>
      </c>
      <c r="H44" s="1">
        <v>0.1749</v>
      </c>
      <c r="I44" s="1">
        <v>0.1719</v>
      </c>
    </row>
    <row r="45" spans="2:10" x14ac:dyDescent="0.35">
      <c r="B45" s="58" t="str">
        <f>IF(C20=G22,"Срок кредита, мес","")</f>
        <v>Срок кредита, мес</v>
      </c>
      <c r="C45" s="16">
        <f>IF(C20=G22,C16,"")</f>
        <v>360</v>
      </c>
      <c r="G45" t="s">
        <v>46</v>
      </c>
      <c r="H45" s="1">
        <v>0.1719</v>
      </c>
      <c r="I45" s="1">
        <v>0.1719</v>
      </c>
    </row>
    <row r="46" spans="2:10" x14ac:dyDescent="0.35">
      <c r="B46" s="58" t="str">
        <f>IF(AND(C20=G22,C39="нет"),"Ежемесячный платёж, руб","")</f>
        <v/>
      </c>
      <c r="C46" s="41" t="str">
        <f>IF(AND(C20=G22,C39="нет"),-PMT(C44/12,C45,C43),"")</f>
        <v/>
      </c>
      <c r="G46" t="s">
        <v>47</v>
      </c>
      <c r="H46" s="1">
        <v>0.1749</v>
      </c>
      <c r="I46" s="1">
        <v>0.1719</v>
      </c>
    </row>
    <row r="47" spans="2:10" x14ac:dyDescent="0.35">
      <c r="B47" s="58" t="str">
        <f>IF($C$39="да","Платёж на период рассрочки (в первые "&amp;C40&amp;" месяцев), руб.","")</f>
        <v>Платёж на период рассрочки (в первые 3 месяцев), руб.</v>
      </c>
      <c r="C47" s="41">
        <f>IF(B50="","",-PMT(C50/12,C45,C43))</f>
        <v>67669.540971976181</v>
      </c>
      <c r="G47" t="s">
        <v>59</v>
      </c>
      <c r="H47" s="1"/>
      <c r="I47" s="1"/>
    </row>
    <row r="48" spans="2:10" x14ac:dyDescent="0.35">
      <c r="B48" s="58" t="str">
        <f>IF($C$39="да","Платёж после окончания рассрочки руб.","")</f>
        <v>Платёж после окончания рассрочки руб.</v>
      </c>
      <c r="C48" s="41">
        <f>IF(B50="","",-PMT(C44/12,C45-C40,MIN('Скидка на период отсрочки'!$C$38:$C$74)))</f>
        <v>100799.51318042623</v>
      </c>
      <c r="H48" s="1"/>
      <c r="I48" s="1"/>
    </row>
    <row r="49" spans="2:9" x14ac:dyDescent="0.35">
      <c r="B49" s="58" t="str">
        <f>IF($C$39="да","Скидка к ставке на период рассрочки, %","")</f>
        <v>Скидка к ставке на период рассрочки, %</v>
      </c>
      <c r="C49" s="18">
        <f>IF(B50="","",'Скидка на период отсрочки'!B4)</f>
        <v>0.06</v>
      </c>
      <c r="H49" s="1"/>
      <c r="I49" s="1"/>
    </row>
    <row r="50" spans="2:9" x14ac:dyDescent="0.35">
      <c r="B50" s="58" t="str">
        <f>IF($C$39="да","Ставка на период рассрочки, %","")</f>
        <v>Ставка на период рассрочки, %</v>
      </c>
      <c r="C50" s="18">
        <f>IF(B50="","",C44-C49)</f>
        <v>0.1119</v>
      </c>
      <c r="H50" s="1"/>
      <c r="I50" s="1"/>
    </row>
    <row r="51" spans="2:9" hidden="1" outlineLevel="1" x14ac:dyDescent="0.35">
      <c r="B51" s="19" t="str">
        <f>IF(C20=G22,"Стоимость объекта залога (для Ритейл)*, руб","")</f>
        <v>Стоимость объекта залога (для Ритейл)*, руб</v>
      </c>
      <c r="C51" s="41">
        <f>IF(C20=G22,C11*(C43/C15),"")</f>
        <v>10769230.769230768</v>
      </c>
    </row>
    <row r="52" spans="2:9" hidden="1" outlineLevel="1" x14ac:dyDescent="0.35">
      <c r="B52" s="19" t="str">
        <f>IF(C20=G22,"Первоначальный взнос (для Ритейл)*, руб","")</f>
        <v>Первоначальный взнос (для Ритейл)*, руб</v>
      </c>
      <c r="C52" s="41">
        <f>IF(C20=G22,C13*(C43/C15),"")</f>
        <v>3769230.769230769</v>
      </c>
    </row>
    <row r="53" spans="2:9" hidden="1" outlineLevel="1" x14ac:dyDescent="0.35">
      <c r="B53" s="28" t="str">
        <f>IF(C20=G22,"Размер МСК (для Ритейл)*, руб","")</f>
        <v>Размер МСК (для Ритейл)*, руб</v>
      </c>
      <c r="C53" s="43">
        <f>IF(C20=G22,C14*(C43/C15),"")</f>
        <v>0</v>
      </c>
      <c r="G53" t="s">
        <v>7</v>
      </c>
      <c r="H53" t="s">
        <v>53</v>
      </c>
      <c r="I53" t="s">
        <v>54</v>
      </c>
    </row>
    <row r="54" spans="2:9" hidden="1" outlineLevel="1" x14ac:dyDescent="0.35">
      <c r="B54" s="28" t="str">
        <f>IF(C20=G22,"ПВ за вычетом МСК (для Ритейл)*, руб","")</f>
        <v>ПВ за вычетом МСК (для Ритейл)*, руб</v>
      </c>
      <c r="C54" s="43">
        <f>IF(C20=G22,(C13-C14)*(C43/C15),"")</f>
        <v>3769230.769230769</v>
      </c>
      <c r="G54" t="s">
        <v>50</v>
      </c>
      <c r="H54" s="1">
        <v>0.30009999999999998</v>
      </c>
      <c r="I54" s="1">
        <v>0.30009999999999998</v>
      </c>
    </row>
    <row r="55" spans="2:9" collapsed="1" x14ac:dyDescent="0.35">
      <c r="B55" s="60" t="str">
        <f>IF(C20=G22,"Итоговая сумма платежа на переиод рассрочки, руб","")</f>
        <v>Итоговая сумма платежа на переиод рассрочки, руб</v>
      </c>
      <c r="C55" s="62">
        <f>IF(AND(C20=G22,C39="нет",C26="нет"),"",IF(AND(C20=G22,C39="да",C26="нет"),C28+C47,IF(AND(C20=G22,C39="нет",C26="да"),C29+C46,IF(AND(C20=G22,C39="да",C26="да"),C29+C47))))</f>
        <v>92933.435027361586</v>
      </c>
      <c r="G55" t="s">
        <v>51</v>
      </c>
      <c r="H55" s="1">
        <v>0.30009999999999998</v>
      </c>
      <c r="I55" s="1">
        <v>0.30009999999999998</v>
      </c>
    </row>
    <row r="56" spans="2:9" ht="15" thickBot="1" x14ac:dyDescent="0.4">
      <c r="B56" s="61" t="str">
        <f>IF(C20=G22,"Итоговая сумма платежа на остальной период, руб","")</f>
        <v>Итоговая сумма платежа на остальной период, руб</v>
      </c>
      <c r="C56" s="63">
        <f>IF(AND(C20=G22,C39="нет",C26="нет"),C28+C46,IF(AND(C20=G22,C39="да",C26="нет"),C28+C48,IF(AND(C20=G22,C39="нет",C26="да"),C30+C46,IF(AND(C20=G22,C39="да",C26="да"),C30+C48))))</f>
        <v>143130.02218267816</v>
      </c>
      <c r="G56" t="s">
        <v>52</v>
      </c>
      <c r="H56" s="1">
        <v>0.30009999999999998</v>
      </c>
      <c r="I56" t="s">
        <v>56</v>
      </c>
    </row>
    <row r="57" spans="2:9" ht="15.5" x14ac:dyDescent="0.35">
      <c r="B57" s="25" t="str">
        <f>IF(C20=G22,"*См. инструкцию","")</f>
        <v>*См. инструкцию</v>
      </c>
      <c r="C57" s="20"/>
    </row>
    <row r="58" spans="2:9" x14ac:dyDescent="0.35">
      <c r="B58" s="20"/>
      <c r="C58" s="20"/>
    </row>
    <row r="59" spans="2:9" x14ac:dyDescent="0.35">
      <c r="B59" s="20"/>
      <c r="C59" s="20"/>
      <c r="G59" t="s">
        <v>8</v>
      </c>
      <c r="H59" t="s">
        <v>53</v>
      </c>
      <c r="I59" t="s">
        <v>54</v>
      </c>
    </row>
    <row r="60" spans="2:9" x14ac:dyDescent="0.35">
      <c r="B60" s="20"/>
      <c r="C60" s="20"/>
      <c r="G60" t="s">
        <v>50</v>
      </c>
      <c r="H60" s="2">
        <v>0.2001</v>
      </c>
      <c r="I60" s="2">
        <v>0.2001</v>
      </c>
    </row>
    <row r="61" spans="2:9" x14ac:dyDescent="0.35">
      <c r="G61" t="s">
        <v>51</v>
      </c>
      <c r="H61" s="1">
        <v>0.2001</v>
      </c>
      <c r="I61" s="1">
        <v>0.30009999999999998</v>
      </c>
    </row>
    <row r="62" spans="2:9" x14ac:dyDescent="0.35">
      <c r="G62" t="s">
        <v>52</v>
      </c>
      <c r="H62" s="1">
        <v>0.2001</v>
      </c>
      <c r="I62" t="s">
        <v>56</v>
      </c>
    </row>
    <row r="64" spans="2:9" x14ac:dyDescent="0.35">
      <c r="G64" t="s">
        <v>55</v>
      </c>
      <c r="H64" t="s">
        <v>53</v>
      </c>
      <c r="I64" t="s">
        <v>54</v>
      </c>
    </row>
    <row r="65" spans="7:9" x14ac:dyDescent="0.35">
      <c r="G65" t="s">
        <v>50</v>
      </c>
      <c r="H65" s="2">
        <v>0.15010000000000001</v>
      </c>
      <c r="I65" s="2">
        <v>0.2</v>
      </c>
    </row>
    <row r="66" spans="7:9" x14ac:dyDescent="0.35">
      <c r="G66" t="s">
        <v>51</v>
      </c>
      <c r="H66" s="1">
        <v>0.2001</v>
      </c>
      <c r="I66" s="1">
        <v>0.30009999999999998</v>
      </c>
    </row>
    <row r="67" spans="7:9" x14ac:dyDescent="0.35">
      <c r="G67" t="s">
        <v>52</v>
      </c>
      <c r="H67" s="1">
        <v>0.2001</v>
      </c>
      <c r="I67" t="s">
        <v>56</v>
      </c>
    </row>
    <row r="70" spans="7:9" x14ac:dyDescent="0.35">
      <c r="G70" t="s">
        <v>7</v>
      </c>
      <c r="H70" s="35">
        <f>VLOOKUP(C9,$G$54:$I$56,IF(C19="Да",3,2),0)</f>
        <v>0.30009999999999998</v>
      </c>
    </row>
    <row r="71" spans="7:9" x14ac:dyDescent="0.35">
      <c r="G71" t="s">
        <v>8</v>
      </c>
      <c r="H71" s="35">
        <f>VLOOKUP(C9,$G$60:$I$62,IF(C19="Да",3,2),0)</f>
        <v>0.2001</v>
      </c>
    </row>
    <row r="72" spans="7:9" x14ac:dyDescent="0.35">
      <c r="G72" t="s">
        <v>48</v>
      </c>
      <c r="H72" s="35">
        <f>IFERROR(MAX(VLOOKUP(C9,$G$65:$I$67,IF(C19="Да",3,2),0),VLOOKUP(C8,$G$70:$H$71,2,0)),"Самозанятые не кредитуются по двум документам")</f>
        <v>0.30009999999999998</v>
      </c>
    </row>
  </sheetData>
  <sheetProtection algorithmName="SHA-512" hashValue="4Ufa//MjQGSXcuAa52JirH2ICJyXVGxK8EZCeoyu12fgHa8zICVTte0E6nW8Xgbeq5PzqOHNOFtSSB/PL0tcBw==" saltValue="JZ3T12vsVzfCSjmqq+K2Sw==" spinCount="100000" sheet="1" objects="1" scenarios="1"/>
  <protectedRanges>
    <protectedRange sqref="C8:C11 C13:C14 C38:C42 C16:C19 C26" name="Диапазон1"/>
    <protectedRange sqref="C27" name="Диапазон1_1"/>
  </protectedRanges>
  <mergeCells count="3">
    <mergeCell ref="B21:C21"/>
    <mergeCell ref="B22:C22"/>
    <mergeCell ref="B37:C37"/>
  </mergeCells>
  <conditionalFormatting sqref="B34:C56">
    <cfRule type="expression" dxfId="15" priority="16">
      <formula>$C$20&lt;&gt;$G$22</formula>
    </cfRule>
  </conditionalFormatting>
  <conditionalFormatting sqref="C18">
    <cfRule type="expression" dxfId="14" priority="15">
      <formula>$B$18=""</formula>
    </cfRule>
  </conditionalFormatting>
  <conditionalFormatting sqref="B33:C33">
    <cfRule type="expression" dxfId="13" priority="14">
      <formula>$C$20&lt;&gt;$G$22</formula>
    </cfRule>
  </conditionalFormatting>
  <conditionalFormatting sqref="C19">
    <cfRule type="expression" dxfId="12" priority="13">
      <formula>$B$19=""</formula>
    </cfRule>
  </conditionalFormatting>
  <conditionalFormatting sqref="C17">
    <cfRule type="expression" dxfId="11" priority="12">
      <formula>$D$18&lt;&gt;""</formula>
    </cfRule>
  </conditionalFormatting>
  <conditionalFormatting sqref="C15">
    <cfRule type="expression" dxfId="10" priority="11">
      <formula>$D$15&lt;&gt;""</formula>
    </cfRule>
  </conditionalFormatting>
  <conditionalFormatting sqref="C38:C41">
    <cfRule type="expression" dxfId="9" priority="10">
      <formula>$B$38=""</formula>
    </cfRule>
  </conditionalFormatting>
  <conditionalFormatting sqref="C13">
    <cfRule type="expression" dxfId="8" priority="9">
      <formula>$D$13&lt;&gt;""</formula>
    </cfRule>
  </conditionalFormatting>
  <conditionalFormatting sqref="C42">
    <cfRule type="expression" dxfId="7" priority="6">
      <formula>$B$38=""</formula>
    </cfRule>
  </conditionalFormatting>
  <conditionalFormatting sqref="C41">
    <cfRule type="expression" dxfId="6" priority="5">
      <formula>$B$41=""</formula>
    </cfRule>
  </conditionalFormatting>
  <conditionalFormatting sqref="C12">
    <cfRule type="expression" dxfId="5" priority="22">
      <formula>$C$12=$I$56</formula>
    </cfRule>
    <cfRule type="expression" dxfId="4" priority="23">
      <formula>$D$15&lt;&gt;""</formula>
    </cfRule>
  </conditionalFormatting>
  <conditionalFormatting sqref="B26">
    <cfRule type="expression" dxfId="3" priority="4">
      <formula>$C$20&lt;&gt;$G$22</formula>
    </cfRule>
  </conditionalFormatting>
  <conditionalFormatting sqref="C26">
    <cfRule type="expression" dxfId="2" priority="3">
      <formula>$C$20&lt;&gt;$G$22</formula>
    </cfRule>
  </conditionalFormatting>
  <conditionalFormatting sqref="C26">
    <cfRule type="expression" dxfId="1" priority="2">
      <formula>$B$38=""</formula>
    </cfRule>
  </conditionalFormatting>
  <conditionalFormatting sqref="B28:C28">
    <cfRule type="expression" dxfId="0" priority="1">
      <formula>$C$20&lt;&gt;$G$22</formula>
    </cfRule>
  </conditionalFormatting>
  <dataValidations count="5">
    <dataValidation type="list" allowBlank="1" showInputMessage="1" showErrorMessage="1" sqref="C17:C19 C42">
      <formula1>$G$11:$G$12</formula1>
    </dataValidation>
    <dataValidation type="list" allowBlank="1" showInputMessage="1" showErrorMessage="1" sqref="C10">
      <formula1>$G$2:$G$3</formula1>
    </dataValidation>
    <dataValidation type="list" allowBlank="1" showInputMessage="1" showErrorMessage="1" sqref="C8">
      <formula1>$G$7:$G$8</formula1>
    </dataValidation>
    <dataValidation type="list" allowBlank="1" showInputMessage="1" showErrorMessage="1" sqref="C38">
      <formula1>$G$43:$G$47</formula1>
    </dataValidation>
    <dataValidation type="list" allowBlank="1" showInputMessage="1" showErrorMessage="1" sqref="C9">
      <formula1>$G$54:$G$56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'Скидка на период отсрочки'!$A$80:$A$81</xm:f>
          </x14:formula1>
          <xm:sqref>C39 C26</xm:sqref>
        </x14:dataValidation>
        <x14:dataValidation type="list" allowBlank="1" showInputMessage="1" showErrorMessage="1">
          <x14:formula1>
            <xm:f>'Скидка на период отсрочки'!$E$41:$E$74</xm:f>
          </x14:formula1>
          <xm:sqref>C40 C27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38" workbookViewId="0">
      <selection activeCell="I45" sqref="I45"/>
    </sheetView>
  </sheetViews>
  <sheetFormatPr defaultColWidth="9.1796875" defaultRowHeight="14.5" x14ac:dyDescent="0.35"/>
  <cols>
    <col min="1" max="1" width="46" style="46" customWidth="1"/>
    <col min="2" max="2" width="28.7265625" style="46" customWidth="1"/>
    <col min="3" max="3" width="20.81640625" style="46" customWidth="1"/>
    <col min="4" max="5" width="9.1796875" style="46"/>
    <col min="6" max="6" width="9.54296875" style="46" bestFit="1" customWidth="1"/>
    <col min="7" max="16384" width="9.1796875" style="46"/>
  </cols>
  <sheetData>
    <row r="1" spans="1:2" ht="18" customHeight="1" x14ac:dyDescent="0.35">
      <c r="A1" s="50" t="s">
        <v>6</v>
      </c>
      <c r="B1" s="50" t="s">
        <v>62</v>
      </c>
    </row>
    <row r="2" spans="1:2" ht="18" customHeight="1" x14ac:dyDescent="0.35">
      <c r="A2" s="47" t="s">
        <v>8</v>
      </c>
      <c r="B2" s="51">
        <v>3.0099999999999998E-2</v>
      </c>
    </row>
    <row r="3" spans="1:2" ht="18" customHeight="1" x14ac:dyDescent="0.35">
      <c r="A3" s="47" t="s">
        <v>7</v>
      </c>
      <c r="B3" s="51">
        <v>5.0099999999999999E-2</v>
      </c>
    </row>
    <row r="4" spans="1:2" ht="18" customHeight="1" x14ac:dyDescent="0.35">
      <c r="A4" s="47" t="s">
        <v>60</v>
      </c>
      <c r="B4" s="52">
        <v>0.06</v>
      </c>
    </row>
    <row r="5" spans="1:2" ht="18" customHeight="1" x14ac:dyDescent="0.35">
      <c r="A5" s="47" t="s">
        <v>61</v>
      </c>
      <c r="B5" s="52">
        <v>0.06</v>
      </c>
    </row>
    <row r="6" spans="1:2" ht="18" customHeight="1" x14ac:dyDescent="0.35">
      <c r="A6" s="47" t="s">
        <v>24</v>
      </c>
      <c r="B6" s="52">
        <v>0</v>
      </c>
    </row>
    <row r="7" spans="1:2" ht="18" customHeight="1" x14ac:dyDescent="0.35">
      <c r="A7" s="47" t="s">
        <v>23</v>
      </c>
      <c r="B7" s="52">
        <v>0</v>
      </c>
    </row>
    <row r="8" spans="1:2" ht="18" customHeight="1" x14ac:dyDescent="0.35">
      <c r="A8" s="47" t="s">
        <v>63</v>
      </c>
      <c r="B8" s="52">
        <v>0</v>
      </c>
    </row>
    <row r="9" spans="1:2" ht="18" customHeight="1" x14ac:dyDescent="0.35">
      <c r="A9" s="47" t="s">
        <v>64</v>
      </c>
      <c r="B9" s="52">
        <v>0</v>
      </c>
    </row>
    <row r="10" spans="1:2" ht="18" customHeight="1" x14ac:dyDescent="0.35">
      <c r="A10" s="47" t="s">
        <v>65</v>
      </c>
      <c r="B10" s="52">
        <v>0</v>
      </c>
    </row>
    <row r="11" spans="1:2" x14ac:dyDescent="0.35">
      <c r="A11" s="53"/>
    </row>
    <row r="37" spans="1:6" x14ac:dyDescent="0.35">
      <c r="B37" s="46" t="s">
        <v>66</v>
      </c>
    </row>
    <row r="38" spans="1:6" x14ac:dyDescent="0.35">
      <c r="A38" s="46">
        <v>0</v>
      </c>
      <c r="B38" s="54">
        <f>'Сверхлимит с рассрочкой'!C23</f>
        <v>6000000</v>
      </c>
      <c r="C38" s="54">
        <f>'Сверхлимит с рассрочкой'!C43</f>
        <v>7000000</v>
      </c>
      <c r="D38" s="46">
        <v>0</v>
      </c>
    </row>
    <row r="39" spans="1:6" x14ac:dyDescent="0.35">
      <c r="A39" s="46">
        <f>IF(A38&lt;'Сверхлимит с рассрочкой'!$C$27,'Скидка на период отсрочки'!A38+1,"")</f>
        <v>1</v>
      </c>
      <c r="B39" s="54">
        <f>IFERROR(B38-(-PPMT('Сверхлимит с рассрочкой'!$C$32/12,A39,'Сверхлимит с рассрочкой'!$C$16,'Сверхлимит с рассрочкой'!$C$23)),"")</f>
        <v>5989686.1059446149</v>
      </c>
      <c r="C39" s="54">
        <f>IFERROR(C38-(-PPMT('Сверхлимит с рассрочкой'!$C$50/12,D39,'Сверхлимит с рассрочкой'!$C$45,'Сверхлимит с рассрочкой'!$C$43)),"")</f>
        <v>6997605.4590280242</v>
      </c>
      <c r="D39" s="46">
        <f>IF(D38&lt;'Сверхлимит с рассрочкой'!$C$40,'Скидка на период отсрочки'!D38+1,"")</f>
        <v>1</v>
      </c>
      <c r="F39" s="55"/>
    </row>
    <row r="40" spans="1:6" x14ac:dyDescent="0.35">
      <c r="A40" s="46">
        <f>IF(A39&lt;'Сверхлимит с рассрочкой'!$C$27,'Скидка на период отсрочки'!A39+1,"")</f>
        <v>2</v>
      </c>
      <c r="B40" s="54">
        <f>IFERROR(B39-(-PPMT('Сверхлимит с рассрочкой'!$C$32/12,A40,'Сверхлимит с рассрочкой'!$C$16,'Сверхлимит с рассрочкой'!$C$23)),"")</f>
        <v>5979346.5131032085</v>
      </c>
      <c r="C40" s="54">
        <f>IFERROR(C39-(-PPMT('Сверхлимит с рассрочкой'!$C$50/12,D40,'Сверхлимит с рассрочкой'!$C$45,'Сверхлимит с рассрочкой'!$C$43)),"")</f>
        <v>6995188.5889614839</v>
      </c>
      <c r="D40" s="46">
        <f>IF(D39&lt;'Сверхлимит с рассрочкой'!$C$40,'Скидка на период отсрочки'!D39+1,"")</f>
        <v>2</v>
      </c>
      <c r="F40" s="55"/>
    </row>
    <row r="41" spans="1:6" x14ac:dyDescent="0.35">
      <c r="A41" s="46">
        <f>IF(A40&lt;'Сверхлимит с рассрочкой'!$C$27,'Скидка на период отсрочки'!A40+1,"")</f>
        <v>3</v>
      </c>
      <c r="B41" s="54">
        <f>IFERROR(B40-(-PPMT('Сверхлимит с рассрочкой'!$C$32/12,A41,'Сверхлимит с рассрочкой'!$C$16,'Сверхлимит с рассрочкой'!$C$23)),"")</f>
        <v>5968981.1574429721</v>
      </c>
      <c r="C41" s="54">
        <f>IFERROR(C40-(-PPMT('Сверхлимит с рассрочкой'!$C$50/12,D41,'Сверхлимит с рассрочкой'!$C$45,'Сверхлимит с рассрочкой'!$C$43)),"")</f>
        <v>6992749.1815815736</v>
      </c>
      <c r="D41" s="46">
        <f>IF(D40&lt;'Сверхлимит с рассрочкой'!$C$40,'Скидка на период отсрочки'!D40+1,"")</f>
        <v>3</v>
      </c>
      <c r="E41" s="46">
        <v>3</v>
      </c>
      <c r="F41" s="55"/>
    </row>
    <row r="42" spans="1:6" x14ac:dyDescent="0.35">
      <c r="A42" s="46">
        <f>IF(A41&lt;'Сверхлимит с рассрочкой'!$C$27,'Скидка на период отсрочки'!A41+1,"")</f>
        <v>4</v>
      </c>
      <c r="B42" s="54">
        <f>IFERROR(B41-(-PPMT('Сверхлимит с рассрочкой'!$C$32/12,A42,'Сверхлимит с рассрочкой'!$C$16,'Сверхлимит с рассрочкой'!$C$23)),"")</f>
        <v>5958589.974771549</v>
      </c>
      <c r="C42" s="54" t="str">
        <f>IFERROR(C41-(-PPMT('Сверхлимит с рассрочкой'!$C$50/12,D42,'Сверхлимит с рассрочкой'!$C$45,'Сверхлимит с рассрочкой'!$C$43)),"")</f>
        <v/>
      </c>
      <c r="D42" s="46" t="str">
        <f>IF(D41&lt;'Сверхлимит с рассрочкой'!$C$40,'Скидка на период отсрочки'!D41+1,"")</f>
        <v/>
      </c>
      <c r="E42" s="46">
        <v>4</v>
      </c>
      <c r="F42" s="55"/>
    </row>
    <row r="43" spans="1:6" x14ac:dyDescent="0.35">
      <c r="A43" s="46">
        <f>IF(A42&lt;'Сверхлимит с рассрочкой'!$C$27,'Скидка на период отсрочки'!A42+1,"")</f>
        <v>5</v>
      </c>
      <c r="B43" s="54">
        <f>IFERROR(B42-(-PPMT('Сверхлимит с рассрочкой'!$C$32/12,A43,'Сверхлимит с рассрочкой'!$C$16,'Сверхлимит с рассрочкой'!$C$23)),"")</f>
        <v>5948172.9007366365</v>
      </c>
      <c r="C43" s="54" t="str">
        <f>IFERROR(C42-(-PPMT('Сверхлимит с рассрочкой'!$C$50/12,D43,'Сверхлимит с рассрочкой'!$C$45,'Сверхлимит с рассрочкой'!$C$43)),"")</f>
        <v/>
      </c>
      <c r="D43" s="46" t="str">
        <f>IF(D42&lt;'Сверхлимит с рассрочкой'!$C$40,'Скидка на период отсрочки'!D42+1,"")</f>
        <v/>
      </c>
      <c r="E43" s="46">
        <v>5</v>
      </c>
      <c r="F43" s="55"/>
    </row>
    <row r="44" spans="1:6" x14ac:dyDescent="0.35">
      <c r="A44" s="46">
        <f>IF(A43&lt;'Сверхлимит с рассрочкой'!$C$27,'Скидка на период отсрочки'!A43+1,"")</f>
        <v>6</v>
      </c>
      <c r="B44" s="54">
        <f>IFERROR(B43-(-PPMT('Сверхлимит с рассрочкой'!$C$32/12,A44,'Сверхлимит с рассрочкой'!$C$16,'Сверхлимит с рассрочкой'!$C$23)),"")</f>
        <v>5937729.8708255868</v>
      </c>
      <c r="C44" s="54" t="str">
        <f>IFERROR(C43-(-PPMT('Сверхлимит с рассрочкой'!$C$50/12,D44,'Сверхлимит с рассрочкой'!$C$45,'Сверхлимит с рассрочкой'!$C$43)),"")</f>
        <v/>
      </c>
      <c r="D44" s="46" t="str">
        <f>IF(D43&lt;'Сверхлимит с рассрочкой'!$C$40,'Скидка на период отсрочки'!D43+1,"")</f>
        <v/>
      </c>
      <c r="E44" s="46">
        <v>6</v>
      </c>
      <c r="F44" s="55"/>
    </row>
    <row r="45" spans="1:6" x14ac:dyDescent="0.35">
      <c r="A45" s="46">
        <f>IF(A44&lt;'Сверхлимит с рассрочкой'!$C$27,'Скидка на период отсрочки'!A44+1,"")</f>
        <v>7</v>
      </c>
      <c r="B45" s="54">
        <f>IFERROR(B44-(-PPMT('Сверхлимит с рассрочкой'!$C$32/12,A45,'Сверхлимит с рассрочкой'!$C$16,'Сверхлимит с рассрочкой'!$C$23)),"")</f>
        <v>5927260.8203650089</v>
      </c>
      <c r="C45" s="54" t="str">
        <f>IFERROR(C44-(-PPMT('Сверхлимит с рассрочкой'!$C$50/12,D45,'Сверхлимит с рассрочкой'!$C$45,'Сверхлимит с рассрочкой'!$C$43)),"")</f>
        <v/>
      </c>
      <c r="D45" s="46" t="str">
        <f>IF(D44&lt;'Сверхлимит с рассрочкой'!$C$40,'Скидка на период отсрочки'!D44+1,"")</f>
        <v/>
      </c>
      <c r="E45" s="46">
        <v>7</v>
      </c>
      <c r="F45" s="55"/>
    </row>
    <row r="46" spans="1:6" x14ac:dyDescent="0.35">
      <c r="A46" s="46">
        <f>IF(A45&lt;'Сверхлимит с рассрочкой'!$C$27,'Скидка на период отсрочки'!A45+1,"")</f>
        <v>8</v>
      </c>
      <c r="B46" s="54">
        <f>IFERROR(B45-(-PPMT('Сверхлимит с рассрочкой'!$C$32/12,A46,'Сверхлимит с рассрочкой'!$C$16,'Сверхлимит с рассрочкой'!$C$23)),"")</f>
        <v>5916765.6845203666</v>
      </c>
      <c r="C46" s="54" t="str">
        <f>IFERROR(C45-(-PPMT('Сверхлимит с рассрочкой'!$C$50/12,D46,'Сверхлимит с рассрочкой'!$C$45,'Сверхлимит с рассрочкой'!$C$43)),"")</f>
        <v/>
      </c>
      <c r="D46" s="46" t="str">
        <f>IF(D45&lt;'Сверхлимит с рассрочкой'!$C$40,'Скидка на период отсрочки'!D45+1,"")</f>
        <v/>
      </c>
      <c r="E46" s="46">
        <v>8</v>
      </c>
      <c r="F46" s="55"/>
    </row>
    <row r="47" spans="1:6" x14ac:dyDescent="0.35">
      <c r="A47" s="46">
        <f>IF(A46&lt;'Сверхлимит с рассрочкой'!$C$27,'Скидка на период отсрочки'!A46+1,"")</f>
        <v>9</v>
      </c>
      <c r="B47" s="54">
        <f>IFERROR(B46-(-PPMT('Сверхлимит с рассрочкой'!$C$32/12,A47,'Сверхлимит с рассрочкой'!$C$16,'Сверхлимит с рассрочкой'!$C$23)),"")</f>
        <v>5906244.3982955776</v>
      </c>
      <c r="C47" s="54" t="str">
        <f>IFERROR(C46-(-PPMT('Сверхлимит с рассрочкой'!$C$50/12,D47,'Сверхлимит с рассрочкой'!$C$45,'Сверхлимит с рассрочкой'!$C$43)),"")</f>
        <v/>
      </c>
      <c r="D47" s="46" t="str">
        <f>IF(D46&lt;'Сверхлимит с рассрочкой'!$C$40,'Скидка на период отсрочки'!D46+1,"")</f>
        <v/>
      </c>
      <c r="E47" s="46">
        <v>9</v>
      </c>
      <c r="F47" s="55"/>
    </row>
    <row r="48" spans="1:6" x14ac:dyDescent="0.35">
      <c r="A48" s="46">
        <f>IF(A47&lt;'Сверхлимит с рассрочкой'!$C$27,'Скидка на период отсрочки'!A47+1,"")</f>
        <v>10</v>
      </c>
      <c r="B48" s="54">
        <f>IFERROR(B47-(-PPMT('Сверхлимит с рассрочкой'!$C$32/12,A48,'Сверхлимит с рассрочкой'!$C$16,'Сверхлимит с рассрочкой'!$C$23)),"")</f>
        <v>5895696.8965326119</v>
      </c>
      <c r="C48" s="54" t="str">
        <f>IFERROR(C47-(-PPMT('Сверхлимит с рассрочкой'!$C$50/12,D48,'Сверхлимит с рассрочкой'!$C$45,'Сверхлимит с рассрочкой'!$C$43)),"")</f>
        <v/>
      </c>
      <c r="D48" s="46" t="str">
        <f>IF(D47&lt;'Сверхлимит с рассрочкой'!$C$40,'Скидка на период отсрочки'!D47+1,"")</f>
        <v/>
      </c>
      <c r="E48" s="46">
        <v>10</v>
      </c>
    </row>
    <row r="49" spans="1:5" x14ac:dyDescent="0.35">
      <c r="A49" s="46">
        <f>IF(A48&lt;'Сверхлимит с рассрочкой'!$C$27,'Скидка на период отсрочки'!A48+1,"")</f>
        <v>11</v>
      </c>
      <c r="B49" s="54">
        <f>IFERROR(B48-(-PPMT('Сверхлимит с рассрочкой'!$C$32/12,A49,'Сверхлимит с рассрочкой'!$C$16,'Сверхлимит с рассрочкой'!$C$23)),"")</f>
        <v>5885123.1139110867</v>
      </c>
      <c r="C49" s="54" t="str">
        <f>IFERROR(C48-(-PPMT('Сверхлимит с рассрочкой'!$C$50/12,D49,'Сверхлимит с рассрочкой'!$C$45,'Сверхлимит с рассрочкой'!$C$43)),"")</f>
        <v/>
      </c>
      <c r="D49" s="46" t="str">
        <f>IF(D48&lt;'Сверхлимит с рассрочкой'!$C$40,'Скидка на период отсрочки'!D48+1,"")</f>
        <v/>
      </c>
      <c r="E49" s="46">
        <v>11</v>
      </c>
    </row>
    <row r="50" spans="1:5" x14ac:dyDescent="0.35">
      <c r="A50" s="46">
        <f>IF(A49&lt;'Сверхлимит с рассрочкой'!$C$27,'Скидка на период отсрочки'!A49+1,"")</f>
        <v>12</v>
      </c>
      <c r="B50" s="54">
        <f>IFERROR(B49-(-PPMT('Сверхлимит с рассрочкой'!$C$32/12,A50,'Сверхлимит с рассрочкой'!$C$16,'Сверхлимит с рассрочкой'!$C$23)),"")</f>
        <v>5874522.984947863</v>
      </c>
      <c r="C50" s="54" t="str">
        <f>IFERROR(C49-(-PPMT('Сверхлимит с рассрочкой'!$C$50/12,D50,'Сверхлимит с рассрочкой'!$C$45,'Сверхлимит с рассрочкой'!$C$43)),"")</f>
        <v/>
      </c>
      <c r="D50" s="46" t="str">
        <f>IF(D49&lt;'Сверхлимит с рассрочкой'!$C$40,'Скидка на период отсрочки'!D49+1,"")</f>
        <v/>
      </c>
      <c r="E50" s="46">
        <v>12</v>
      </c>
    </row>
    <row r="51" spans="1:5" x14ac:dyDescent="0.35">
      <c r="A51" s="46">
        <f>IF(A50&lt;'Сверхлимит с рассрочкой'!$C$27,'Скидка на период отсрочки'!A50+1,"")</f>
        <v>13</v>
      </c>
      <c r="B51" s="54">
        <f>IFERROR(B50-(-PPMT('Сверхлимит с рассрочкой'!$C$32/12,A51,'Сверхлимит с рассрочкой'!$C$16,'Сверхлимит с рассрочкой'!$C$23)),"")</f>
        <v>5863896.443996639</v>
      </c>
      <c r="C51" s="54" t="str">
        <f>IFERROR(C50-(-PPMT('Сверхлимит с рассрочкой'!$C$50/12,D51,'Сверхлимит с рассрочкой'!$C$45,'Сверхлимит с рассрочкой'!$C$43)),"")</f>
        <v/>
      </c>
      <c r="D51" s="46" t="str">
        <f>IF(D50&lt;'Сверхлимит с рассрочкой'!$C$40,'Скидка на период отсрочки'!D50+1,"")</f>
        <v/>
      </c>
      <c r="E51" s="46">
        <v>13</v>
      </c>
    </row>
    <row r="52" spans="1:5" x14ac:dyDescent="0.35">
      <c r="A52" s="46">
        <f>IF(A51&lt;'Сверхлимит с рассрочкой'!$C$27,'Скидка на период отсрочки'!A51+1,"")</f>
        <v>14</v>
      </c>
      <c r="B52" s="54">
        <f>IFERROR(B51-(-PPMT('Сверхлимит с рассрочкой'!$C$32/12,A52,'Сверхлимит с рассрочкой'!$C$16,'Сверхлимит с рассрочкой'!$C$23)),"")</f>
        <v>5853243.4252475454</v>
      </c>
      <c r="C52" s="54" t="str">
        <f>IFERROR(C51-(-PPMT('Сверхлимит с рассрочкой'!$C$50/12,D52,'Сверхлимит с рассрочкой'!$C$45,'Сверхлимит с рассрочкой'!$C$43)),"")</f>
        <v/>
      </c>
      <c r="D52" s="46" t="str">
        <f>IF(D51&lt;'Сверхлимит с рассрочкой'!$C$40,'Скидка на период отсрочки'!D51+1,"")</f>
        <v/>
      </c>
      <c r="E52" s="46">
        <v>14</v>
      </c>
    </row>
    <row r="53" spans="1:5" x14ac:dyDescent="0.35">
      <c r="A53" s="46">
        <f>IF(A52&lt;'Сверхлимит с рассрочкой'!$C$27,'Скидка на период отсрочки'!A52+1,"")</f>
        <v>15</v>
      </c>
      <c r="B53" s="54">
        <f>IFERROR(B52-(-PPMT('Сверхлимит с рассрочкой'!$C$32/12,A53,'Сверхлимит с рассрочкой'!$C$16,'Сверхлимит с рассрочкой'!$C$23)),"")</f>
        <v>5842563.862726735</v>
      </c>
      <c r="C53" s="54" t="str">
        <f>IFERROR(C52-(-PPMT('Сверхлимит с рассрочкой'!$C$50/12,D53,'Сверхлимит с рассрочкой'!$C$45,'Сверхлимит с рассрочкой'!$C$43)),"")</f>
        <v/>
      </c>
      <c r="D53" s="46" t="str">
        <f>IF(D52&lt;'Сверхлимит с рассрочкой'!$C$40,'Скидка на период отсрочки'!D52+1,"")</f>
        <v/>
      </c>
      <c r="E53" s="46">
        <v>15</v>
      </c>
    </row>
    <row r="54" spans="1:5" x14ac:dyDescent="0.35">
      <c r="A54" s="46">
        <f>IF(A53&lt;'Сверхлимит с рассрочкой'!$C$27,'Скидка на период отсрочки'!A53+1,"")</f>
        <v>16</v>
      </c>
      <c r="B54" s="54">
        <f>IFERROR(B53-(-PPMT('Сверхлимит с рассрочкой'!$C$32/12,A54,'Сверхлимит с рассрочкой'!$C$16,'Сверхлимит с рассрочкой'!$C$23)),"")</f>
        <v>5831857.6902959766</v>
      </c>
      <c r="C54" s="54" t="str">
        <f>IFERROR(C53-(-PPMT('Сверхлимит с рассрочкой'!$C$50/12,D54,'Сверхлимит с рассрочкой'!$C$45,'Сверхлимит с рассрочкой'!$C$43)),"")</f>
        <v/>
      </c>
      <c r="D54" s="46" t="str">
        <f>IF(D53&lt;'Сверхлимит с рассрочкой'!$C$40,'Скидка на период отсрочки'!D53+1,"")</f>
        <v/>
      </c>
      <c r="E54" s="46">
        <v>16</v>
      </c>
    </row>
    <row r="55" spans="1:5" x14ac:dyDescent="0.35">
      <c r="A55" s="46">
        <f>IF(A54&lt;'Сверхлимит с рассрочкой'!$C$27,'Скидка на период отсрочки'!A54+1,"")</f>
        <v>17</v>
      </c>
      <c r="B55" s="54">
        <f>IFERROR(B54-(-PPMT('Сверхлимит с рассрочкой'!$C$32/12,A55,'Сверхлимит с рассрочкой'!$C$16,'Сверхлимит с рассрочкой'!$C$23)),"")</f>
        <v>5821124.8416522453</v>
      </c>
      <c r="C55" s="54" t="str">
        <f>IFERROR(C54-(-PPMT('Сверхлимит с рассрочкой'!$C$50/12,D55,'Сверхлимит с рассрочкой'!$C$45,'Сверхлимит с рассрочкой'!$C$43)),"")</f>
        <v/>
      </c>
      <c r="D55" s="46" t="str">
        <f>IF(D54&lt;'Сверхлимит с рассрочкой'!$C$40,'Скидка на период отсрочки'!D54+1,"")</f>
        <v/>
      </c>
      <c r="E55" s="46">
        <v>17</v>
      </c>
    </row>
    <row r="56" spans="1:5" x14ac:dyDescent="0.35">
      <c r="A56" s="46">
        <f>IF(A55&lt;'Сверхлимит с рассрочкой'!$C$27,'Скидка на период отсрочки'!A55+1,"")</f>
        <v>18</v>
      </c>
      <c r="B56" s="54">
        <f>IFERROR(B55-(-PPMT('Сверхлимит с рассрочкой'!$C$32/12,A56,'Сверхлимит с рассрочкой'!$C$16,'Сверхлимит с рассрочкой'!$C$23)),"")</f>
        <v>5810365.2503273096</v>
      </c>
      <c r="C56" s="54" t="str">
        <f>IFERROR(C55-(-PPMT('Сверхлимит с рассрочкой'!$C$50/12,D56,'Сверхлимит с рассрочкой'!$C$45,'Сверхлимит с рассрочкой'!$C$43)),"")</f>
        <v/>
      </c>
      <c r="D56" s="46" t="str">
        <f>IF(D55&lt;'Сверхлимит с рассрочкой'!$C$40,'Скидка на период отсрочки'!D55+1,"")</f>
        <v/>
      </c>
      <c r="E56" s="46">
        <v>18</v>
      </c>
    </row>
    <row r="57" spans="1:5" x14ac:dyDescent="0.35">
      <c r="A57" s="46">
        <f>IF(A56&lt;'Сверхлимит с рассрочкой'!$C$27,'Скидка на период отсрочки'!A56+1,"")</f>
        <v>19</v>
      </c>
      <c r="B57" s="54">
        <f>IFERROR(B56-(-PPMT('Сверхлимит с рассрочкой'!$C$32/12,A57,'Сверхлимит с рассрочкой'!$C$16,'Сверхлимит с рассрочкой'!$C$23)),"")</f>
        <v>5799578.849687323</v>
      </c>
      <c r="C57" s="54" t="str">
        <f>IFERROR(C56-(-PPMT('Сверхлимит с рассрочкой'!$C$50/12,D57,'Сверхлимит с рассрочкой'!$C$45,'Сверхлимит с рассрочкой'!$C$43)),"")</f>
        <v/>
      </c>
      <c r="D57" s="46" t="str">
        <f>IF(D56&lt;'Сверхлимит с рассрочкой'!$C$40,'Скидка на период отсрочки'!D56+1,"")</f>
        <v/>
      </c>
      <c r="E57" s="46">
        <v>19</v>
      </c>
    </row>
    <row r="58" spans="1:5" x14ac:dyDescent="0.35">
      <c r="A58" s="46">
        <f>IF(A57&lt;'Сверхлимит с рассрочкой'!$C$27,'Скидка на период отсрочки'!A57+1,"")</f>
        <v>20</v>
      </c>
      <c r="B58" s="54">
        <f>IFERROR(B57-(-PPMT('Сверхлимит с рассрочкой'!$C$32/12,A58,'Сверхлимит с рассрочкой'!$C$16,'Сверхлимит с рассрочкой'!$C$23)),"")</f>
        <v>5788765.5729324082</v>
      </c>
      <c r="C58" s="54" t="str">
        <f>IFERROR(C57-(-PPMT('Сверхлимит с рассрочкой'!$C$50/12,D58,'Сверхлимит с рассрочкой'!$C$45,'Сверхлимит с рассрочкой'!$C$43)),"")</f>
        <v/>
      </c>
      <c r="D58" s="46" t="str">
        <f>IF(D57&lt;'Сверхлимит с рассрочкой'!$C$40,'Скидка на период отсрочки'!D57+1,"")</f>
        <v/>
      </c>
      <c r="E58" s="46">
        <v>20</v>
      </c>
    </row>
    <row r="59" spans="1:5" x14ac:dyDescent="0.35">
      <c r="A59" s="46">
        <f>IF(A58&lt;'Сверхлимит с рассрочкой'!$C$27,'Скидка на период отсрочки'!A58+1,"")</f>
        <v>21</v>
      </c>
      <c r="B59" s="54">
        <f>IFERROR(B58-(-PPMT('Сверхлимит с рассрочкой'!$C$32/12,A59,'Сверхлимит с рассрочкой'!$C$16,'Сверхлимит с рассрочкой'!$C$23)),"")</f>
        <v>5777925.3530962458</v>
      </c>
      <c r="C59" s="54" t="str">
        <f>IFERROR(C58-(-PPMT('Сверхлимит с рассрочкой'!$C$50/12,D59,'Сверхлимит с рассрочкой'!$C$45,'Сверхлимит с рассрочкой'!$C$43)),"")</f>
        <v/>
      </c>
      <c r="D59" s="46" t="str">
        <f>IF(D58&lt;'Сверхлимит с рассрочкой'!$C$40,'Скидка на период отсрочки'!D58+1,"")</f>
        <v/>
      </c>
      <c r="E59" s="46">
        <v>21</v>
      </c>
    </row>
    <row r="60" spans="1:5" x14ac:dyDescent="0.35">
      <c r="A60" s="46">
        <f>IF(A59&lt;'Сверхлимит с рассрочкой'!$C$27,'Скидка на период отсрочки'!A59+1,"")</f>
        <v>22</v>
      </c>
      <c r="B60" s="54">
        <f>IFERROR(B59-(-PPMT('Сверхлимит с рассрочкой'!$C$32/12,A60,'Сверхлимит с рассрочкой'!$C$16,'Сверхлимит с рассрочкой'!$C$23)),"")</f>
        <v>5767058.1230456587</v>
      </c>
      <c r="C60" s="54" t="str">
        <f>IFERROR(C59-(-PPMT('Сверхлимит с рассрочкой'!$C$50/12,D60,'Сверхлимит с рассрочкой'!$C$45,'Сверхлимит с рассрочкой'!$C$43)),"")</f>
        <v/>
      </c>
      <c r="D60" s="46" t="str">
        <f>IF(D59&lt;'Сверхлимит с рассрочкой'!$C$40,'Скидка на период отсрочки'!D59+1,"")</f>
        <v/>
      </c>
      <c r="E60" s="46">
        <v>22</v>
      </c>
    </row>
    <row r="61" spans="1:5" x14ac:dyDescent="0.35">
      <c r="A61" s="46">
        <f>IF(A60&lt;'Сверхлимит с рассрочкой'!$C$27,'Скидка на период отсрочки'!A60+1,"")</f>
        <v>23</v>
      </c>
      <c r="B61" s="54">
        <f>IFERROR(B60-(-PPMT('Сверхлимит с рассрочкой'!$C$32/12,A61,'Сверхлимит с рассрочкой'!$C$16,'Сверхлимит с рассрочкой'!$C$23)),"")</f>
        <v>5756163.815480195</v>
      </c>
      <c r="C61" s="54" t="str">
        <f>IFERROR(C60-(-PPMT('Сверхлимит с рассрочкой'!$C$50/12,D61,'Сверхлимит с рассрочкой'!$C$45,'Сверхлимит с рассрочкой'!$C$43)),"")</f>
        <v/>
      </c>
      <c r="D61" s="46" t="str">
        <f>IF(D60&lt;'Сверхлимит с рассрочкой'!$C$40,'Скидка на период отсрочки'!D60+1,"")</f>
        <v/>
      </c>
      <c r="E61" s="46">
        <v>23</v>
      </c>
    </row>
    <row r="62" spans="1:5" x14ac:dyDescent="0.35">
      <c r="A62" s="46">
        <f>IF(A61&lt;'Сверхлимит с рассрочкой'!$C$27,'Скидка на период отсрочки'!A61+1,"")</f>
        <v>24</v>
      </c>
      <c r="B62" s="54">
        <f>IFERROR(B61-(-PPMT('Сверхлимит с рассрочкой'!$C$32/12,A62,'Сверхлимит с рассрочкой'!$C$16,'Сверхлимит с рассрочкой'!$C$23)),"")</f>
        <v>5745242.3629317144</v>
      </c>
      <c r="C62" s="54" t="str">
        <f>IFERROR(C61-(-PPMT('Сверхлимит с рассрочкой'!$C$50/12,D62,'Сверхлимит с рассрочкой'!$C$45,'Сверхлимит с рассрочкой'!$C$43)),"")</f>
        <v/>
      </c>
      <c r="D62" s="46" t="str">
        <f>IF(D61&lt;'Сверхлимит с рассрочкой'!$C$40,'Скидка на период отсрочки'!D61+1,"")</f>
        <v/>
      </c>
      <c r="E62" s="46">
        <v>24</v>
      </c>
    </row>
    <row r="63" spans="1:5" x14ac:dyDescent="0.35">
      <c r="A63" s="46">
        <f>IF(A62&lt;'Сверхлимит с рассрочкой'!$C$27,'Скидка на период отсрочки'!A62+1,"")</f>
        <v>25</v>
      </c>
      <c r="B63" s="54">
        <f>IFERROR(B62-(-PPMT('Сверхлимит с рассрочкой'!$C$32/12,A63,'Сверхлимит с рассрочкой'!$C$16,'Сверхлимит с рассрочкой'!$C$23)),"")</f>
        <v>5734293.6977639673</v>
      </c>
      <c r="C63" s="54" t="str">
        <f>IFERROR(C62-(-PPMT('Сверхлимит с рассрочкой'!$C$50/12,D63,'Сверхлимит с рассрочкой'!$C$45,'Сверхлимит с рассрочкой'!$C$43)),"")</f>
        <v/>
      </c>
      <c r="D63" s="46" t="str">
        <f>IF(D62&lt;'Сверхлимит с рассрочкой'!$C$40,'Скидка на период отсрочки'!D62+1,"")</f>
        <v/>
      </c>
      <c r="E63" s="46">
        <v>25</v>
      </c>
    </row>
    <row r="64" spans="1:5" x14ac:dyDescent="0.35">
      <c r="A64" s="46">
        <f>IF(A63&lt;'Сверхлимит с рассрочкой'!$C$27,'Скидка на период отсрочки'!A63+1,"")</f>
        <v>26</v>
      </c>
      <c r="B64" s="54">
        <f>IFERROR(B63-(-PPMT('Сверхлимит с рассрочкой'!$C$32/12,A64,'Сверхлимит с рассрочкой'!$C$16,'Сверхлимит с рассрочкой'!$C$23)),"")</f>
        <v>5723317.7521721767</v>
      </c>
      <c r="C64" s="54" t="str">
        <f>IFERROR(C63-(-PPMT('Сверхлимит с рассрочкой'!$C$50/12,D64,'Сверхлимит с рассрочкой'!$C$45,'Сверхлимит с рассрочкой'!$C$43)),"")</f>
        <v/>
      </c>
      <c r="D64" s="46" t="str">
        <f>IF(D63&lt;'Сверхлимит с рассрочкой'!$C$40,'Скидка на период отсрочки'!D63+1,"")</f>
        <v/>
      </c>
      <c r="E64" s="46">
        <v>26</v>
      </c>
    </row>
    <row r="65" spans="1:5" x14ac:dyDescent="0.35">
      <c r="A65" s="46">
        <f>IF(A64&lt;'Сверхлимит с рассрочкой'!$C$27,'Скидка на период отсрочки'!A64+1,"")</f>
        <v>27</v>
      </c>
      <c r="B65" s="54">
        <f>IFERROR(B64-(-PPMT('Сверхлимит с рассрочкой'!$C$32/12,A65,'Сверхлимит с рассрочкой'!$C$16,'Сверхлимит с рассрочкой'!$C$23)),"")</f>
        <v>5712314.4581826199</v>
      </c>
      <c r="C65" s="54" t="str">
        <f>IFERROR(C64-(-PPMT('Сверхлимит с рассрочкой'!$C$50/12,D65,'Сверхлимит с рассрочкой'!$C$45,'Сверхлимит с рассрочкой'!$C$43)),"")</f>
        <v/>
      </c>
      <c r="D65" s="46" t="str">
        <f>IF(D64&lt;'Сверхлимит с рассрочкой'!$C$40,'Скидка на период отсрочки'!D64+1,"")</f>
        <v/>
      </c>
      <c r="E65" s="46">
        <v>27</v>
      </c>
    </row>
    <row r="66" spans="1:5" x14ac:dyDescent="0.35">
      <c r="A66" s="46">
        <f>IF(A65&lt;'Сверхлимит с рассрочкой'!$C$27,'Скидка на период отсрочки'!A65+1,"")</f>
        <v>28</v>
      </c>
      <c r="B66" s="54">
        <f>IFERROR(B65-(-PPMT('Сверхлимит с рассрочкой'!$C$32/12,A66,'Сверхлимит с рассрочкой'!$C$16,'Сверхлимит с рассрочкой'!$C$23)),"")</f>
        <v>5701283.7476522066</v>
      </c>
      <c r="C66" s="54" t="str">
        <f>IFERROR(C65-(-PPMT('Сверхлимит с рассрочкой'!$C$50/12,D66,'Сверхлимит с рассрочкой'!$C$45,'Сверхлимит с рассрочкой'!$C$43)),"")</f>
        <v/>
      </c>
      <c r="D66" s="46" t="str">
        <f>IF(D65&lt;'Сверхлимит с рассрочкой'!$C$40,'Скидка на период отсрочки'!D65+1,"")</f>
        <v/>
      </c>
      <c r="E66" s="46">
        <v>28</v>
      </c>
    </row>
    <row r="67" spans="1:5" x14ac:dyDescent="0.35">
      <c r="A67" s="46">
        <f>IF(A66&lt;'Сверхлимит с рассрочкой'!$C$27,'Скидка на период отсрочки'!A66+1,"")</f>
        <v>29</v>
      </c>
      <c r="B67" s="54">
        <f>IFERROR(B66-(-PPMT('Сверхлимит с рассрочкой'!$C$32/12,A67,'Сверхлимит с рассрочкой'!$C$16,'Сверхлимит с рассрочкой'!$C$23)),"")</f>
        <v>5690225.5522680543</v>
      </c>
      <c r="C67" s="54" t="str">
        <f>IFERROR(C66-(-PPMT('Сверхлимит с рассрочкой'!$C$50/12,D67,'Сверхлимит с рассрочкой'!$C$45,'Сверхлимит с рассрочкой'!$C$43)),"")</f>
        <v/>
      </c>
      <c r="D67" s="46" t="str">
        <f>IF(D66&lt;'Сверхлимит с рассрочкой'!$C$40,'Скидка на период отсрочки'!D66+1,"")</f>
        <v/>
      </c>
      <c r="E67" s="46">
        <v>29</v>
      </c>
    </row>
    <row r="68" spans="1:5" x14ac:dyDescent="0.35">
      <c r="A68" s="46">
        <f>IF(A67&lt;'Сверхлимит с рассрочкой'!$C$27,'Скидка на период отсрочки'!A67+1,"")</f>
        <v>30</v>
      </c>
      <c r="B68" s="54">
        <f>IFERROR(B67-(-PPMT('Сверхлимит с рассрочкой'!$C$32/12,A68,'Сверхлимит с рассрочкой'!$C$16,'Сверхлимит с рассрочкой'!$C$23)),"")</f>
        <v>5679139.8035470704</v>
      </c>
      <c r="C68" s="54" t="str">
        <f>IFERROR(C67-(-PPMT('Сверхлимит с рассрочкой'!$C$50/12,D68,'Сверхлимит с рассрочкой'!$C$45,'Сверхлимит с рассрочкой'!$C$43)),"")</f>
        <v/>
      </c>
      <c r="D68" s="46" t="str">
        <f>IF(D67&lt;'Сверхлимит с рассрочкой'!$C$40,'Скидка на период отсрочки'!D67+1,"")</f>
        <v/>
      </c>
      <c r="E68" s="46">
        <v>30</v>
      </c>
    </row>
    <row r="69" spans="1:5" x14ac:dyDescent="0.35">
      <c r="A69" s="46">
        <f>IF(A68&lt;'Сверхлимит с рассрочкой'!$C$27,'Скидка на период отсрочки'!A68+1,"")</f>
        <v>31</v>
      </c>
      <c r="B69" s="54">
        <f>IFERROR(B68-(-PPMT('Сверхлимит с рассрочкой'!$C$32/12,A69,'Сверхлимит с рассрочкой'!$C$16,'Сверхлимит с рассрочкой'!$C$23)),"")</f>
        <v>5668026.432835523</v>
      </c>
      <c r="C69" s="54" t="str">
        <f>IFERROR(C68-(-PPMT('Сверхлимит с рассрочкой'!$C$50/12,D69,'Сверхлимит с рассрочкой'!$C$45,'Сверхлимит с рассрочкой'!$C$43)),"")</f>
        <v/>
      </c>
      <c r="D69" s="46" t="str">
        <f>IF(D68&lt;'Сверхлимит с рассрочкой'!$C$40,'Скидка на период отсрочки'!D68+1,"")</f>
        <v/>
      </c>
      <c r="E69" s="46">
        <v>31</v>
      </c>
    </row>
    <row r="70" spans="1:5" x14ac:dyDescent="0.35">
      <c r="A70" s="46">
        <f>IF(A69&lt;'Сверхлимит с рассрочкой'!$C$27,'Скидка на период отсрочки'!A69+1,"")</f>
        <v>32</v>
      </c>
      <c r="B70" s="54">
        <f>IFERROR(B69-(-PPMT('Сверхлимит с рассрочкой'!$C$32/12,A70,'Сверхлимит с рассрочкой'!$C$16,'Сверхлимит с рассрочкой'!$C$23)),"")</f>
        <v>5656885.3713086192</v>
      </c>
      <c r="C70" s="54" t="str">
        <f>IFERROR(C69-(-PPMT('Сверхлимит с рассрочкой'!$C$50/12,D70,'Сверхлимит с рассрочкой'!$C$45,'Сверхлимит с рассрочкой'!$C$43)),"")</f>
        <v/>
      </c>
      <c r="D70" s="46" t="str">
        <f>IF(D69&lt;'Сверхлимит с рассрочкой'!$C$40,'Скидка на период отсрочки'!D69+1,"")</f>
        <v/>
      </c>
      <c r="E70" s="46">
        <v>32</v>
      </c>
    </row>
    <row r="71" spans="1:5" x14ac:dyDescent="0.35">
      <c r="A71" s="46">
        <f>IF(A70&lt;'Сверхлимит с рассрочкой'!$C$27,'Скидка на период отсрочки'!A70+1,"")</f>
        <v>33</v>
      </c>
      <c r="B71" s="54">
        <f>IFERROR(B70-(-PPMT('Сверхлимит с рассрочкой'!$C$32/12,A71,'Сверхлимит с рассрочкой'!$C$16,'Сверхлимит с рассрочкой'!$C$23)),"")</f>
        <v>5645716.5499700774</v>
      </c>
      <c r="C71" s="54" t="str">
        <f>IFERROR(C70-(-PPMT('Сверхлимит с рассрочкой'!$C$50/12,D71,'Сверхлимит с рассрочкой'!$C$45,'Сверхлимит с рассрочкой'!$C$43)),"")</f>
        <v/>
      </c>
      <c r="D71" s="46" t="str">
        <f>IF(D70&lt;'Сверхлимит с рассрочкой'!$C$40,'Скидка на период отсрочки'!D70+1,"")</f>
        <v/>
      </c>
      <c r="E71" s="46">
        <v>33</v>
      </c>
    </row>
    <row r="72" spans="1:5" x14ac:dyDescent="0.35">
      <c r="A72" s="46">
        <f>IF(A71&lt;'Сверхлимит с рассрочкой'!$C$27,'Скидка на период отсрочки'!A71+1,"")</f>
        <v>34</v>
      </c>
      <c r="B72" s="54">
        <f>IFERROR(B71-(-PPMT('Сверхлимит с рассрочкой'!$C$32/12,A72,'Сверхлимит с рассрочкой'!$C$16,'Сверхлимит с рассрочкой'!$C$23)),"")</f>
        <v>5634519.8996517006</v>
      </c>
      <c r="C72" s="54" t="str">
        <f>IFERROR(C71-(-PPMT('Сверхлимит с рассрочкой'!$C$50/12,D72,'Сверхлимит с рассрочкой'!$C$45,'Сверхлимит с рассрочкой'!$C$43)),"")</f>
        <v/>
      </c>
      <c r="D72" s="46" t="str">
        <f>IF(D71&lt;'Сверхлимит с рассрочкой'!$C$40,'Скидка на период отсрочки'!D71+1,"")</f>
        <v/>
      </c>
      <c r="E72" s="46">
        <v>34</v>
      </c>
    </row>
    <row r="73" spans="1:5" x14ac:dyDescent="0.35">
      <c r="A73" s="46">
        <f>IF(A72&lt;'Сверхлимит с рассрочкой'!$C$27,'Скидка на период отсрочки'!A72+1,"")</f>
        <v>35</v>
      </c>
      <c r="B73" s="54">
        <f>IFERROR(B72-(-PPMT('Сверхлимит с рассрочкой'!$C$32/12,A73,'Сверхлимит с рассрочкой'!$C$16,'Сверхлимит с рассрочкой'!$C$23)),"")</f>
        <v>5623295.351012947</v>
      </c>
      <c r="C73" s="54" t="str">
        <f>IFERROR(C72-(-PPMT('Сверхлимит с рассрочкой'!$C$50/12,D73,'Сверхлимит с рассрочкой'!$C$45,'Сверхлимит с рассрочкой'!$C$43)),"")</f>
        <v/>
      </c>
      <c r="D73" s="46" t="str">
        <f>IF(D72&lt;'Сверхлимит с рассрочкой'!$C$40,'Скидка на период отсрочки'!D72+1,"")</f>
        <v/>
      </c>
      <c r="E73" s="46">
        <v>35</v>
      </c>
    </row>
    <row r="74" spans="1:5" x14ac:dyDescent="0.35">
      <c r="A74" s="46">
        <f>IF(A73&lt;'Сверхлимит с рассрочкой'!$C$27,'Скидка на период отсрочки'!A73+1,"")</f>
        <v>36</v>
      </c>
      <c r="B74" s="54">
        <f>IFERROR(B73-(-PPMT('Сверхлимит с рассрочкой'!$C$32/12,A74,'Сверхлимит с рассрочкой'!$C$16,'Сверхлимит с рассрочкой'!$C$23)),"")</f>
        <v>5612042.8345405022</v>
      </c>
      <c r="C74" s="54" t="str">
        <f>IFERROR(C73-(-PPMT('Сверхлимит с рассрочкой'!$C$50/12,D74,'Сверхлимит с рассрочкой'!$C$45,'Сверхлимит с рассрочкой'!$C$43)),"")</f>
        <v/>
      </c>
      <c r="D74" s="46" t="str">
        <f>IF(D73&lt;'Сверхлимит с рассрочкой'!$C$40,'Скидка на период отсрочки'!D73+1,"")</f>
        <v/>
      </c>
      <c r="E74" s="46">
        <v>36</v>
      </c>
    </row>
    <row r="80" spans="1:5" x14ac:dyDescent="0.35">
      <c r="A80" s="46" t="s">
        <v>67</v>
      </c>
    </row>
    <row r="81" spans="1:1" x14ac:dyDescent="0.35">
      <c r="A81" s="46" t="s">
        <v>68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Сверхлимит</vt:lpstr>
      <vt:lpstr>Сверхлимит с рассрочкой</vt:lpstr>
      <vt:lpstr>Скидка на период отсрочки</vt:lpstr>
    </vt:vector>
  </TitlesOfParts>
  <Company>UralSib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Вахненко Олег Дмитриевич</dc:creator>
  <cp:lastModifiedBy>Пользователь Windows</cp:lastModifiedBy>
  <dcterms:created xsi:type="dcterms:W3CDTF">2023-05-25T12:57:37Z</dcterms:created>
  <dcterms:modified xsi:type="dcterms:W3CDTF">2023-12-25T08:07:32Z</dcterms:modified>
</cp:coreProperties>
</file>